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2390" activeTab="9"/>
  </bookViews>
  <sheets>
    <sheet name="Sample" sheetId="1" r:id="rId1"/>
    <sheet name="Volume" sheetId="2" r:id="rId2"/>
    <sheet name="Charging" sheetId="4" r:id="rId3"/>
    <sheet name="Pulse" sheetId="3" r:id="rId4"/>
    <sheet name="Pulse_PWM" sheetId="9" r:id="rId5"/>
    <sheet name="Battey therm ADC" sheetId="5" r:id="rId6"/>
    <sheet name="Battery ADC" sheetId="6" r:id="rId7"/>
    <sheet name="Boost" sheetId="7" r:id="rId8"/>
    <sheet name="Sheet1" sheetId="8" r:id="rId9"/>
    <sheet name="RS-232" sheetId="10" r:id="rId10"/>
  </sheets>
  <calcPr calcId="152511"/>
</workbook>
</file>

<file path=xl/calcChain.xml><?xml version="1.0" encoding="utf-8"?>
<calcChain xmlns="http://schemas.openxmlformats.org/spreadsheetml/2006/main">
  <c r="F15" i="10" l="1"/>
  <c r="H15" i="10" s="1"/>
  <c r="I15" i="10" s="1"/>
  <c r="F14" i="10"/>
  <c r="H14" i="10" s="1"/>
  <c r="I14" i="10" s="1"/>
  <c r="F13" i="10"/>
  <c r="H13" i="10" s="1"/>
  <c r="I13" i="10" s="1"/>
  <c r="F12" i="10"/>
  <c r="H12" i="10" s="1"/>
  <c r="I12" i="10" s="1"/>
  <c r="G12" i="10" l="1"/>
  <c r="G13" i="10"/>
  <c r="G14" i="10"/>
  <c r="G15" i="10"/>
  <c r="O173" i="7" l="1"/>
  <c r="O172" i="7"/>
  <c r="O171" i="7"/>
  <c r="O170" i="7"/>
  <c r="O169" i="7"/>
  <c r="O168" i="7"/>
  <c r="O167" i="7"/>
  <c r="O166" i="7"/>
  <c r="O165" i="7"/>
  <c r="O164" i="7"/>
  <c r="O163" i="7"/>
  <c r="O162" i="7"/>
  <c r="O161" i="7"/>
  <c r="O160" i="7"/>
  <c r="O159" i="7"/>
  <c r="O158" i="7"/>
  <c r="O157" i="7"/>
  <c r="O156" i="7"/>
  <c r="O155" i="7"/>
  <c r="O154" i="7"/>
  <c r="O153" i="7"/>
  <c r="N173" i="7"/>
  <c r="N172" i="7"/>
  <c r="N171" i="7"/>
  <c r="N170" i="7"/>
  <c r="N169" i="7"/>
  <c r="N168" i="7"/>
  <c r="N167" i="7"/>
  <c r="N166" i="7"/>
  <c r="N165" i="7"/>
  <c r="N164" i="7"/>
  <c r="N163" i="7"/>
  <c r="N162" i="7"/>
  <c r="N161" i="7"/>
  <c r="N160" i="7"/>
  <c r="N159" i="7"/>
  <c r="N158" i="7"/>
  <c r="N157" i="7"/>
  <c r="N156" i="7"/>
  <c r="N155" i="7"/>
  <c r="N154" i="7"/>
  <c r="N153" i="7"/>
  <c r="N6" i="3"/>
  <c r="N5" i="3"/>
  <c r="D5" i="6" l="1"/>
  <c r="N79" i="2"/>
  <c r="O79" i="2"/>
  <c r="P79" i="2"/>
  <c r="D85" i="3"/>
  <c r="P78" i="2" l="1"/>
  <c r="P77" i="2"/>
  <c r="P76" i="2"/>
  <c r="P75" i="2"/>
  <c r="P74" i="2"/>
  <c r="P73" i="2"/>
  <c r="P72" i="2"/>
  <c r="P71" i="2"/>
  <c r="P70" i="2"/>
  <c r="P69" i="2"/>
  <c r="P68" i="2"/>
  <c r="P67" i="2"/>
  <c r="P66" i="2"/>
  <c r="P65" i="2"/>
  <c r="P64" i="2"/>
  <c r="P63" i="2"/>
  <c r="P62" i="2"/>
  <c r="P61" i="2"/>
  <c r="P60" i="2"/>
  <c r="P59" i="2"/>
  <c r="P58" i="2"/>
  <c r="P57" i="2"/>
  <c r="P56" i="2"/>
  <c r="P55" i="2"/>
  <c r="P54" i="2"/>
  <c r="P53" i="2"/>
  <c r="P51" i="2"/>
  <c r="O78" i="2" l="1"/>
  <c r="O77" i="2"/>
  <c r="O76" i="2"/>
  <c r="O75" i="2"/>
  <c r="O74" i="2"/>
  <c r="O73" i="2"/>
  <c r="O72" i="2"/>
  <c r="O71" i="2"/>
  <c r="O70" i="2"/>
  <c r="O69" i="2"/>
  <c r="O68" i="2"/>
  <c r="O67" i="2"/>
  <c r="O66" i="2"/>
  <c r="O65" i="2"/>
  <c r="O64" i="2"/>
  <c r="O63" i="2"/>
  <c r="O62" i="2"/>
  <c r="O61" i="2"/>
  <c r="O60" i="2"/>
  <c r="O59" i="2"/>
  <c r="O58" i="2"/>
  <c r="O57" i="2"/>
  <c r="O56" i="2"/>
  <c r="O55" i="2"/>
  <c r="O54" i="2"/>
  <c r="O53" i="2"/>
  <c r="O51" i="2"/>
  <c r="N51" i="2"/>
  <c r="N78" i="2" s="1"/>
  <c r="N76" i="2"/>
  <c r="N75" i="2"/>
  <c r="N72" i="2"/>
  <c r="N71" i="2"/>
  <c r="N68" i="2"/>
  <c r="N67" i="2"/>
  <c r="N65" i="2"/>
  <c r="N64" i="2"/>
  <c r="N63" i="2"/>
  <c r="N61" i="2"/>
  <c r="N60" i="2"/>
  <c r="N59" i="2"/>
  <c r="N57" i="2"/>
  <c r="N56" i="2"/>
  <c r="N55" i="2"/>
  <c r="N53" i="2"/>
  <c r="F39" i="2"/>
  <c r="O40" i="2"/>
  <c r="N40" i="2"/>
  <c r="O46" i="2"/>
  <c r="O45" i="2"/>
  <c r="O44" i="2"/>
  <c r="O43" i="2"/>
  <c r="O42" i="2"/>
  <c r="N48" i="2"/>
  <c r="N47" i="2"/>
  <c r="N46" i="2"/>
  <c r="N45" i="2"/>
  <c r="N44" i="2"/>
  <c r="N43" i="2"/>
  <c r="N42" i="2"/>
  <c r="O39" i="2"/>
  <c r="N39" i="2"/>
  <c r="N69" i="2" l="1"/>
  <c r="N73" i="2"/>
  <c r="N77" i="2"/>
  <c r="N54" i="2"/>
  <c r="N58" i="2"/>
  <c r="N62" i="2"/>
  <c r="N66" i="2"/>
  <c r="N70" i="2"/>
  <c r="N74" i="2"/>
  <c r="R146" i="7" l="1"/>
  <c r="Q146" i="7"/>
  <c r="P144" i="7"/>
  <c r="O144" i="7"/>
  <c r="N144" i="7"/>
  <c r="P142" i="7"/>
  <c r="O142" i="7"/>
  <c r="N142" i="7"/>
  <c r="R139" i="7"/>
  <c r="Q139" i="7"/>
  <c r="K52" i="7"/>
  <c r="K50" i="7"/>
  <c r="I16" i="6"/>
  <c r="E16" i="6"/>
  <c r="D16" i="6"/>
  <c r="I15" i="6"/>
  <c r="D15" i="6"/>
  <c r="E15" i="6" s="1"/>
  <c r="I14" i="6"/>
  <c r="E14" i="6"/>
  <c r="G14" i="6" s="1"/>
  <c r="D14" i="6"/>
  <c r="K13" i="6"/>
  <c r="I13" i="6"/>
  <c r="D13" i="6"/>
  <c r="E13" i="6" s="1"/>
  <c r="L12" i="6"/>
  <c r="K12" i="6"/>
  <c r="I12" i="6"/>
  <c r="E12" i="6"/>
  <c r="D12" i="6"/>
  <c r="K11" i="6"/>
  <c r="I11" i="6"/>
  <c r="D11" i="6"/>
  <c r="E11" i="6" s="1"/>
  <c r="L10" i="6"/>
  <c r="K10" i="6"/>
  <c r="I10" i="6"/>
  <c r="E10" i="6"/>
  <c r="D10" i="6"/>
  <c r="K9" i="6"/>
  <c r="I9" i="6"/>
  <c r="D9" i="6"/>
  <c r="E9" i="6" s="1"/>
  <c r="L8" i="6"/>
  <c r="K8" i="6"/>
  <c r="I8" i="6"/>
  <c r="E8" i="6"/>
  <c r="D8" i="6"/>
  <c r="K7" i="6"/>
  <c r="I7" i="6"/>
  <c r="D7" i="6"/>
  <c r="E7" i="6" s="1"/>
  <c r="L6" i="6"/>
  <c r="K6" i="6"/>
  <c r="I6" i="6"/>
  <c r="E6" i="6"/>
  <c r="D6" i="6"/>
  <c r="L5" i="6"/>
  <c r="K5" i="6"/>
  <c r="I5" i="6"/>
  <c r="G5" i="6"/>
  <c r="E5" i="6"/>
  <c r="F129" i="5"/>
  <c r="E129" i="5"/>
  <c r="D129" i="5"/>
  <c r="F128" i="5"/>
  <c r="E128" i="5"/>
  <c r="D128" i="5"/>
  <c r="F127" i="5"/>
  <c r="E127" i="5"/>
  <c r="D127" i="5"/>
  <c r="F126" i="5"/>
  <c r="E126" i="5"/>
  <c r="D126" i="5"/>
  <c r="F125" i="5"/>
  <c r="E125" i="5"/>
  <c r="D125" i="5"/>
  <c r="F124" i="5"/>
  <c r="E124" i="5"/>
  <c r="D124" i="5"/>
  <c r="F123" i="5"/>
  <c r="E123" i="5"/>
  <c r="D123" i="5"/>
  <c r="F122" i="5"/>
  <c r="E122" i="5"/>
  <c r="D122" i="5"/>
  <c r="F121" i="5"/>
  <c r="E121" i="5"/>
  <c r="D121" i="5"/>
  <c r="F120" i="5"/>
  <c r="E120" i="5"/>
  <c r="D120" i="5"/>
  <c r="F119" i="5"/>
  <c r="E119" i="5"/>
  <c r="D119" i="5"/>
  <c r="F118" i="5"/>
  <c r="E118" i="5"/>
  <c r="D118" i="5"/>
  <c r="F117" i="5"/>
  <c r="E117" i="5"/>
  <c r="D117" i="5"/>
  <c r="F116" i="5"/>
  <c r="E116" i="5"/>
  <c r="D116" i="5"/>
  <c r="F115" i="5"/>
  <c r="E115" i="5"/>
  <c r="D115" i="5"/>
  <c r="F114" i="5"/>
  <c r="E114" i="5"/>
  <c r="D114" i="5"/>
  <c r="F113" i="5"/>
  <c r="E113" i="5"/>
  <c r="D113" i="5"/>
  <c r="F112" i="5"/>
  <c r="E112" i="5"/>
  <c r="D112" i="5"/>
  <c r="F111" i="5"/>
  <c r="E111" i="5"/>
  <c r="D111" i="5"/>
  <c r="F110" i="5"/>
  <c r="E110" i="5"/>
  <c r="D110" i="5"/>
  <c r="F109" i="5"/>
  <c r="E109" i="5"/>
  <c r="D109" i="5"/>
  <c r="F108" i="5"/>
  <c r="E108" i="5"/>
  <c r="D108" i="5"/>
  <c r="F107" i="5"/>
  <c r="E107" i="5"/>
  <c r="D107" i="5"/>
  <c r="F106" i="5"/>
  <c r="E106" i="5"/>
  <c r="D106" i="5"/>
  <c r="F105" i="5"/>
  <c r="E105" i="5"/>
  <c r="D105" i="5"/>
  <c r="F104" i="5"/>
  <c r="E104" i="5"/>
  <c r="D104" i="5"/>
  <c r="F103" i="5"/>
  <c r="E103" i="5"/>
  <c r="D103" i="5"/>
  <c r="F102" i="5"/>
  <c r="E102" i="5"/>
  <c r="D102" i="5"/>
  <c r="F101" i="5"/>
  <c r="E101" i="5"/>
  <c r="D101" i="5"/>
  <c r="F100" i="5"/>
  <c r="E100" i="5"/>
  <c r="D100" i="5"/>
  <c r="F99" i="5"/>
  <c r="E99" i="5"/>
  <c r="D99" i="5"/>
  <c r="F98" i="5"/>
  <c r="E98" i="5"/>
  <c r="D98" i="5"/>
  <c r="F97" i="5"/>
  <c r="E97" i="5"/>
  <c r="D97" i="5"/>
  <c r="F96" i="5"/>
  <c r="E96" i="5"/>
  <c r="D96" i="5"/>
  <c r="F95" i="5"/>
  <c r="E95" i="5"/>
  <c r="D95" i="5"/>
  <c r="F94" i="5"/>
  <c r="E94" i="5"/>
  <c r="D94" i="5"/>
  <c r="F93" i="5"/>
  <c r="E93" i="5"/>
  <c r="D93" i="5"/>
  <c r="F92" i="5"/>
  <c r="E92" i="5"/>
  <c r="D92" i="5"/>
  <c r="F91" i="5"/>
  <c r="E91" i="5"/>
  <c r="D91" i="5"/>
  <c r="F90" i="5"/>
  <c r="E90" i="5"/>
  <c r="D90" i="5"/>
  <c r="F89" i="5"/>
  <c r="E89" i="5"/>
  <c r="D89" i="5"/>
  <c r="F88" i="5"/>
  <c r="E88" i="5"/>
  <c r="D88" i="5"/>
  <c r="F87" i="5"/>
  <c r="E87" i="5"/>
  <c r="D87" i="5"/>
  <c r="F86" i="5"/>
  <c r="E86" i="5"/>
  <c r="D86" i="5"/>
  <c r="F85" i="5"/>
  <c r="E85" i="5"/>
  <c r="D85" i="5"/>
  <c r="F84" i="5"/>
  <c r="E84" i="5"/>
  <c r="D84" i="5"/>
  <c r="F83" i="5"/>
  <c r="E83" i="5"/>
  <c r="D83" i="5"/>
  <c r="F82" i="5"/>
  <c r="E82" i="5"/>
  <c r="D82" i="5"/>
  <c r="F81" i="5"/>
  <c r="E81" i="5"/>
  <c r="D81" i="5"/>
  <c r="F80" i="5"/>
  <c r="E80" i="5"/>
  <c r="D80" i="5"/>
  <c r="F79" i="5"/>
  <c r="E79" i="5"/>
  <c r="D79" i="5"/>
  <c r="F78" i="5"/>
  <c r="E78" i="5"/>
  <c r="D78" i="5"/>
  <c r="F77" i="5"/>
  <c r="E77" i="5"/>
  <c r="D77" i="5"/>
  <c r="F76" i="5"/>
  <c r="E76" i="5"/>
  <c r="D76" i="5"/>
  <c r="F75" i="5"/>
  <c r="E75" i="5"/>
  <c r="D75" i="5"/>
  <c r="F74" i="5"/>
  <c r="E74" i="5"/>
  <c r="D74" i="5"/>
  <c r="F73" i="5"/>
  <c r="E73" i="5"/>
  <c r="D73" i="5"/>
  <c r="F72" i="5"/>
  <c r="E72" i="5"/>
  <c r="D72" i="5"/>
  <c r="F71" i="5"/>
  <c r="E71" i="5"/>
  <c r="D71" i="5"/>
  <c r="F70" i="5"/>
  <c r="E70" i="5"/>
  <c r="D70" i="5"/>
  <c r="F69" i="5"/>
  <c r="E69" i="5"/>
  <c r="D69" i="5"/>
  <c r="F68" i="5"/>
  <c r="E68" i="5"/>
  <c r="D68" i="5"/>
  <c r="F67" i="5"/>
  <c r="E67" i="5"/>
  <c r="D67" i="5"/>
  <c r="F66" i="5"/>
  <c r="E66" i="5"/>
  <c r="D66" i="5"/>
  <c r="F65" i="5"/>
  <c r="E65" i="5"/>
  <c r="D65" i="5"/>
  <c r="F64" i="5"/>
  <c r="E64" i="5"/>
  <c r="D64" i="5"/>
  <c r="F63" i="5"/>
  <c r="E63" i="5"/>
  <c r="D63" i="5"/>
  <c r="F62" i="5"/>
  <c r="E62" i="5"/>
  <c r="D62" i="5"/>
  <c r="F61" i="5"/>
  <c r="E61" i="5"/>
  <c r="D61" i="5"/>
  <c r="F60" i="5"/>
  <c r="E60" i="5"/>
  <c r="D60" i="5"/>
  <c r="F59" i="5"/>
  <c r="E59" i="5"/>
  <c r="D59" i="5"/>
  <c r="F58" i="5"/>
  <c r="E58" i="5"/>
  <c r="D58" i="5"/>
  <c r="F57" i="5"/>
  <c r="E57" i="5"/>
  <c r="D57" i="5"/>
  <c r="F56" i="5"/>
  <c r="E56" i="5"/>
  <c r="D56" i="5"/>
  <c r="F55" i="5"/>
  <c r="E55" i="5"/>
  <c r="D55" i="5"/>
  <c r="F54" i="5"/>
  <c r="E54" i="5"/>
  <c r="D54" i="5"/>
  <c r="F53" i="5"/>
  <c r="E53" i="5"/>
  <c r="D53" i="5"/>
  <c r="F52" i="5"/>
  <c r="E52" i="5"/>
  <c r="D52" i="5"/>
  <c r="F51" i="5"/>
  <c r="E51" i="5"/>
  <c r="D51" i="5"/>
  <c r="F50" i="5"/>
  <c r="E50" i="5"/>
  <c r="D50" i="5"/>
  <c r="F49" i="5"/>
  <c r="E49" i="5"/>
  <c r="D49" i="5"/>
  <c r="F48" i="5"/>
  <c r="E48" i="5"/>
  <c r="D48" i="5"/>
  <c r="F47" i="5"/>
  <c r="E47" i="5"/>
  <c r="D47" i="5"/>
  <c r="F46" i="5"/>
  <c r="E46" i="5"/>
  <c r="D46" i="5"/>
  <c r="F45" i="5"/>
  <c r="E45" i="5"/>
  <c r="D45" i="5"/>
  <c r="F44" i="5"/>
  <c r="E44" i="5"/>
  <c r="D44" i="5"/>
  <c r="F43" i="5"/>
  <c r="E43" i="5"/>
  <c r="D43" i="5"/>
  <c r="F42" i="5"/>
  <c r="E42" i="5"/>
  <c r="D42" i="5"/>
  <c r="F41" i="5"/>
  <c r="E41" i="5"/>
  <c r="D41" i="5"/>
  <c r="F40" i="5"/>
  <c r="E40" i="5"/>
  <c r="D40" i="5"/>
  <c r="F39" i="5"/>
  <c r="E39" i="5"/>
  <c r="D39" i="5"/>
  <c r="F38" i="5"/>
  <c r="E38" i="5"/>
  <c r="D38" i="5"/>
  <c r="F37" i="5"/>
  <c r="E37" i="5"/>
  <c r="D37" i="5"/>
  <c r="F36" i="5"/>
  <c r="E36" i="5"/>
  <c r="D36" i="5"/>
  <c r="F35" i="5"/>
  <c r="E35" i="5"/>
  <c r="D35" i="5"/>
  <c r="F34" i="5"/>
  <c r="E34" i="5"/>
  <c r="D34" i="5"/>
  <c r="F33" i="5"/>
  <c r="E33" i="5"/>
  <c r="D33" i="5"/>
  <c r="F32" i="5"/>
  <c r="E32" i="5"/>
  <c r="D32" i="5"/>
  <c r="F31" i="5"/>
  <c r="E31" i="5"/>
  <c r="D31" i="5"/>
  <c r="F30" i="5"/>
  <c r="E30" i="5"/>
  <c r="D30" i="5"/>
  <c r="F29" i="5"/>
  <c r="E29" i="5"/>
  <c r="D29" i="5"/>
  <c r="F28" i="5"/>
  <c r="E28" i="5"/>
  <c r="D28" i="5"/>
  <c r="F27" i="5"/>
  <c r="E27" i="5"/>
  <c r="D27" i="5"/>
  <c r="F26" i="5"/>
  <c r="E26" i="5"/>
  <c r="D26" i="5"/>
  <c r="F25" i="5"/>
  <c r="E25" i="5"/>
  <c r="D25" i="5"/>
  <c r="F24" i="5"/>
  <c r="E24" i="5"/>
  <c r="D24" i="5"/>
  <c r="F23" i="5"/>
  <c r="E23" i="5"/>
  <c r="D23" i="5"/>
  <c r="F22" i="5"/>
  <c r="E22" i="5"/>
  <c r="D22" i="5"/>
  <c r="F21" i="5"/>
  <c r="E21" i="5"/>
  <c r="D21" i="5"/>
  <c r="F20" i="5"/>
  <c r="E20" i="5"/>
  <c r="D20" i="5"/>
  <c r="F19" i="5"/>
  <c r="E19" i="5"/>
  <c r="D19" i="5"/>
  <c r="F18" i="5"/>
  <c r="E18" i="5"/>
  <c r="D18" i="5"/>
  <c r="F17" i="5"/>
  <c r="E17" i="5"/>
  <c r="D17" i="5"/>
  <c r="F16" i="5"/>
  <c r="E16" i="5"/>
  <c r="D16" i="5"/>
  <c r="F15" i="5"/>
  <c r="E15" i="5"/>
  <c r="D15" i="5"/>
  <c r="F14" i="5"/>
  <c r="E14" i="5"/>
  <c r="D14" i="5"/>
  <c r="F13" i="5"/>
  <c r="E13" i="5"/>
  <c r="D13" i="5"/>
  <c r="F12" i="5"/>
  <c r="E12" i="5"/>
  <c r="D12" i="5"/>
  <c r="F11" i="5"/>
  <c r="E11" i="5"/>
  <c r="D11" i="5"/>
  <c r="F10" i="5"/>
  <c r="E10" i="5"/>
  <c r="D10" i="5"/>
  <c r="F9" i="5"/>
  <c r="E9" i="5"/>
  <c r="D9" i="5"/>
  <c r="F60" i="4"/>
  <c r="E60" i="4"/>
  <c r="G101" i="2"/>
  <c r="F101" i="2"/>
  <c r="E101" i="2"/>
  <c r="G100" i="2"/>
  <c r="F100" i="2"/>
  <c r="E100" i="2"/>
  <c r="G99" i="2"/>
  <c r="F99" i="2"/>
  <c r="E99" i="2"/>
  <c r="G98" i="2"/>
  <c r="F98" i="2"/>
  <c r="E98" i="2"/>
  <c r="G97" i="2"/>
  <c r="F97" i="2"/>
  <c r="E97" i="2"/>
  <c r="G96" i="2"/>
  <c r="F96" i="2"/>
  <c r="E96" i="2"/>
  <c r="G95" i="2"/>
  <c r="F95" i="2"/>
  <c r="E95" i="2"/>
  <c r="G94" i="2"/>
  <c r="F94" i="2"/>
  <c r="E94" i="2"/>
  <c r="G93" i="2"/>
  <c r="F93" i="2"/>
  <c r="E93" i="2"/>
  <c r="G92" i="2"/>
  <c r="F92" i="2"/>
  <c r="E92" i="2"/>
  <c r="G91" i="2"/>
  <c r="F91" i="2"/>
  <c r="E91" i="2"/>
  <c r="G90" i="2"/>
  <c r="F90" i="2"/>
  <c r="E90" i="2"/>
  <c r="G89" i="2"/>
  <c r="F89" i="2"/>
  <c r="E89" i="2"/>
  <c r="G88" i="2"/>
  <c r="F88" i="2"/>
  <c r="E88" i="2"/>
  <c r="G87" i="2"/>
  <c r="F87" i="2"/>
  <c r="E87" i="2"/>
  <c r="G86" i="2"/>
  <c r="F86" i="2"/>
  <c r="E86" i="2"/>
  <c r="G85" i="2"/>
  <c r="F85" i="2"/>
  <c r="E85" i="2"/>
  <c r="G84" i="2"/>
  <c r="F84" i="2"/>
  <c r="E84" i="2"/>
  <c r="G83" i="2"/>
  <c r="F83" i="2"/>
  <c r="E83" i="2"/>
  <c r="G82" i="2"/>
  <c r="F82" i="2"/>
  <c r="E82" i="2"/>
  <c r="G81" i="2"/>
  <c r="F81" i="2"/>
  <c r="E81" i="2"/>
  <c r="G80" i="2"/>
  <c r="F80" i="2"/>
  <c r="E80" i="2"/>
  <c r="G79" i="2"/>
  <c r="F79" i="2"/>
  <c r="E79" i="2"/>
  <c r="G78" i="2"/>
  <c r="F78" i="2"/>
  <c r="E78" i="2"/>
  <c r="G77" i="2"/>
  <c r="F77" i="2"/>
  <c r="E77" i="2"/>
  <c r="G76" i="2"/>
  <c r="F76" i="2"/>
  <c r="E76" i="2"/>
  <c r="G75" i="2"/>
  <c r="F75" i="2"/>
  <c r="E75" i="2"/>
  <c r="G74" i="2"/>
  <c r="F74" i="2"/>
  <c r="E74" i="2"/>
  <c r="G73" i="2"/>
  <c r="F73" i="2"/>
  <c r="E73" i="2"/>
  <c r="G72" i="2"/>
  <c r="F72" i="2"/>
  <c r="E72" i="2"/>
  <c r="G71" i="2"/>
  <c r="F71" i="2"/>
  <c r="E71" i="2"/>
  <c r="G70" i="2"/>
  <c r="F70" i="2"/>
  <c r="E70" i="2"/>
  <c r="G69" i="2"/>
  <c r="F69" i="2"/>
  <c r="E69" i="2"/>
  <c r="G68" i="2"/>
  <c r="F68" i="2"/>
  <c r="E68" i="2"/>
  <c r="G67" i="2"/>
  <c r="F67" i="2"/>
  <c r="E67" i="2"/>
  <c r="G66" i="2"/>
  <c r="F66" i="2"/>
  <c r="E66" i="2"/>
  <c r="G65" i="2"/>
  <c r="F65" i="2"/>
  <c r="E65" i="2"/>
  <c r="G64" i="2"/>
  <c r="F64" i="2"/>
  <c r="E64" i="2"/>
  <c r="G63" i="2"/>
  <c r="F63" i="2"/>
  <c r="E63" i="2"/>
  <c r="G62" i="2"/>
  <c r="F62" i="2"/>
  <c r="E62" i="2"/>
  <c r="G61" i="2"/>
  <c r="F61" i="2"/>
  <c r="E61" i="2"/>
  <c r="G60" i="2"/>
  <c r="F60" i="2"/>
  <c r="E60" i="2"/>
  <c r="G59" i="2"/>
  <c r="F59" i="2"/>
  <c r="E59" i="2"/>
  <c r="G58" i="2"/>
  <c r="F58" i="2"/>
  <c r="E58" i="2"/>
  <c r="G57" i="2"/>
  <c r="F57" i="2"/>
  <c r="E57" i="2"/>
  <c r="G56" i="2"/>
  <c r="F56" i="2"/>
  <c r="E56" i="2"/>
  <c r="G55" i="2"/>
  <c r="F55" i="2"/>
  <c r="E55" i="2"/>
  <c r="G54" i="2"/>
  <c r="F54" i="2"/>
  <c r="E54" i="2"/>
  <c r="G53" i="2"/>
  <c r="F53" i="2"/>
  <c r="E53" i="2"/>
  <c r="G52" i="2"/>
  <c r="F52" i="2"/>
  <c r="E52" i="2"/>
  <c r="G51" i="2"/>
  <c r="F51" i="2"/>
  <c r="E51" i="2"/>
  <c r="G50" i="2"/>
  <c r="F50" i="2"/>
  <c r="E50" i="2"/>
  <c r="I45" i="2"/>
  <c r="H45" i="2"/>
  <c r="G45" i="2"/>
  <c r="F45" i="2"/>
  <c r="E45" i="2"/>
  <c r="I44" i="2"/>
  <c r="H44" i="2"/>
  <c r="G44" i="2"/>
  <c r="F44" i="2"/>
  <c r="E44" i="2"/>
  <c r="I43" i="2"/>
  <c r="H43" i="2"/>
  <c r="G43" i="2"/>
  <c r="F43" i="2"/>
  <c r="E43" i="2"/>
  <c r="I42" i="2"/>
  <c r="H42" i="2"/>
  <c r="G42" i="2"/>
  <c r="F42" i="2"/>
  <c r="E42" i="2"/>
  <c r="I41" i="2"/>
  <c r="H41" i="2"/>
  <c r="G41" i="2"/>
  <c r="F41" i="2"/>
  <c r="E41" i="2"/>
  <c r="I40" i="2"/>
  <c r="H40" i="2"/>
  <c r="G40" i="2"/>
  <c r="F40" i="2"/>
  <c r="E40" i="2"/>
  <c r="I39" i="2"/>
  <c r="H39" i="2"/>
  <c r="G39" i="2"/>
  <c r="E39" i="2"/>
  <c r="V34" i="2"/>
  <c r="U34" i="2"/>
  <c r="T34" i="2"/>
  <c r="S34" i="2"/>
  <c r="R34" i="2"/>
  <c r="Q34" i="2"/>
  <c r="O34" i="2"/>
  <c r="V33" i="2"/>
  <c r="U33" i="2"/>
  <c r="T33" i="2"/>
  <c r="S33" i="2"/>
  <c r="R33" i="2"/>
  <c r="Q33" i="2"/>
  <c r="O33" i="2"/>
  <c r="J33" i="2"/>
  <c r="I33" i="2"/>
  <c r="H33" i="2"/>
  <c r="G33" i="2"/>
  <c r="F33" i="2"/>
  <c r="E33" i="2"/>
  <c r="V32" i="2"/>
  <c r="U32" i="2"/>
  <c r="T32" i="2"/>
  <c r="S32" i="2"/>
  <c r="R32" i="2"/>
  <c r="Q32" i="2"/>
  <c r="O32" i="2"/>
  <c r="J32" i="2"/>
  <c r="I32" i="2"/>
  <c r="H32" i="2"/>
  <c r="G32" i="2"/>
  <c r="F32" i="2"/>
  <c r="E32" i="2"/>
  <c r="V31" i="2"/>
  <c r="U31" i="2"/>
  <c r="T31" i="2"/>
  <c r="S31" i="2"/>
  <c r="R31" i="2"/>
  <c r="Q31" i="2"/>
  <c r="O31" i="2"/>
  <c r="J31" i="2"/>
  <c r="I31" i="2"/>
  <c r="H31" i="2"/>
  <c r="G31" i="2"/>
  <c r="F31" i="2"/>
  <c r="E31" i="2"/>
  <c r="V30" i="2"/>
  <c r="U30" i="2"/>
  <c r="T30" i="2"/>
  <c r="S30" i="2"/>
  <c r="R30" i="2"/>
  <c r="Q30" i="2"/>
  <c r="O30" i="2"/>
  <c r="J30" i="2"/>
  <c r="I30" i="2"/>
  <c r="H30" i="2"/>
  <c r="G30" i="2"/>
  <c r="F30" i="2"/>
  <c r="E30" i="2"/>
  <c r="V29" i="2"/>
  <c r="U29" i="2"/>
  <c r="T29" i="2"/>
  <c r="S29" i="2"/>
  <c r="R29" i="2"/>
  <c r="Q29" i="2"/>
  <c r="O29" i="2"/>
  <c r="J29" i="2"/>
  <c r="I29" i="2"/>
  <c r="H29" i="2"/>
  <c r="G29" i="2"/>
  <c r="F29" i="2"/>
  <c r="E29" i="2"/>
  <c r="V28" i="2"/>
  <c r="U28" i="2"/>
  <c r="T28" i="2"/>
  <c r="S28" i="2"/>
  <c r="R28" i="2"/>
  <c r="Q28" i="2"/>
  <c r="O28" i="2"/>
  <c r="J28" i="2"/>
  <c r="I28" i="2"/>
  <c r="H28" i="2"/>
  <c r="G28" i="2"/>
  <c r="F28" i="2"/>
  <c r="E28" i="2"/>
  <c r="V27" i="2"/>
  <c r="U27" i="2"/>
  <c r="T27" i="2"/>
  <c r="S27" i="2"/>
  <c r="R27" i="2"/>
  <c r="Q27" i="2"/>
  <c r="O27" i="2"/>
  <c r="J27" i="2"/>
  <c r="I27" i="2"/>
  <c r="H27" i="2"/>
  <c r="G27" i="2"/>
  <c r="F27" i="2"/>
  <c r="E27" i="2"/>
  <c r="V26" i="2"/>
  <c r="U26" i="2"/>
  <c r="T26" i="2"/>
  <c r="S26" i="2"/>
  <c r="R26" i="2"/>
  <c r="Q26" i="2"/>
  <c r="O26" i="2"/>
  <c r="J26" i="2"/>
  <c r="I26" i="2"/>
  <c r="H26" i="2"/>
  <c r="G26" i="2"/>
  <c r="F26" i="2"/>
  <c r="E26" i="2"/>
  <c r="V25" i="2"/>
  <c r="U25" i="2"/>
  <c r="T25" i="2"/>
  <c r="S25" i="2"/>
  <c r="R25" i="2"/>
  <c r="Q25" i="2"/>
  <c r="O25" i="2"/>
  <c r="J25" i="2"/>
  <c r="I25" i="2"/>
  <c r="H25" i="2"/>
  <c r="G25" i="2"/>
  <c r="F25" i="2"/>
  <c r="E25" i="2"/>
  <c r="V24" i="2"/>
  <c r="U24" i="2"/>
  <c r="T24" i="2"/>
  <c r="S24" i="2"/>
  <c r="R24" i="2"/>
  <c r="Q24" i="2"/>
  <c r="O24" i="2"/>
  <c r="J24" i="2"/>
  <c r="I24" i="2"/>
  <c r="H24" i="2"/>
  <c r="G24" i="2"/>
  <c r="F24" i="2"/>
  <c r="E24" i="2"/>
  <c r="V23" i="2"/>
  <c r="U23" i="2"/>
  <c r="T23" i="2"/>
  <c r="S23" i="2"/>
  <c r="R23" i="2"/>
  <c r="Q23" i="2"/>
  <c r="O23" i="2"/>
  <c r="J23" i="2"/>
  <c r="I23" i="2"/>
  <c r="H23" i="2"/>
  <c r="G23" i="2"/>
  <c r="F23" i="2"/>
  <c r="E23" i="2"/>
  <c r="G11" i="2"/>
  <c r="F11" i="2"/>
  <c r="E11" i="2"/>
  <c r="G10" i="2"/>
  <c r="F10" i="2"/>
  <c r="E10" i="2"/>
  <c r="F6" i="6" l="1"/>
  <c r="G7" i="6"/>
  <c r="L7" i="6"/>
  <c r="F7" i="6"/>
  <c r="G11" i="6"/>
  <c r="L11" i="6"/>
  <c r="F11" i="6"/>
  <c r="F10" i="6"/>
  <c r="G6" i="6"/>
  <c r="G10" i="6"/>
  <c r="F8" i="6"/>
  <c r="G9" i="6"/>
  <c r="L9" i="6"/>
  <c r="F9" i="6"/>
  <c r="F12" i="6"/>
  <c r="G13" i="6"/>
  <c r="L13" i="6"/>
  <c r="F13" i="6"/>
  <c r="G8" i="6"/>
  <c r="G12" i="6"/>
  <c r="G15" i="6"/>
  <c r="F15" i="6"/>
  <c r="F14" i="6"/>
  <c r="F5" i="6"/>
</calcChain>
</file>

<file path=xl/sharedStrings.xml><?xml version="1.0" encoding="utf-8"?>
<sst xmlns="http://schemas.openxmlformats.org/spreadsheetml/2006/main" count="582" uniqueCount="340">
  <si>
    <t>Download</t>
    <phoneticPr fontId="1" type="noConversion"/>
  </si>
  <si>
    <t>PASS</t>
    <phoneticPr fontId="1" type="noConversion"/>
  </si>
  <si>
    <t>Results</t>
    <phoneticPr fontId="1" type="noConversion"/>
  </si>
  <si>
    <t>OK</t>
    <phoneticPr fontId="1" type="noConversion"/>
  </si>
  <si>
    <t>RGB LED</t>
    <phoneticPr fontId="1" type="noConversion"/>
  </si>
  <si>
    <t>OP LED</t>
    <phoneticPr fontId="1" type="noConversion"/>
  </si>
  <si>
    <t>전원 KEY</t>
    <phoneticPr fontId="1" type="noConversion"/>
  </si>
  <si>
    <t>RESET KEY</t>
    <phoneticPr fontId="1" type="noConversion"/>
  </si>
  <si>
    <t>Test Item</t>
    <phoneticPr fontId="1" type="noConversion"/>
  </si>
  <si>
    <t>H/W</t>
    <phoneticPr fontId="1" type="noConversion"/>
  </si>
  <si>
    <t>PTV09A-4020U-B103</t>
    <phoneticPr fontId="1" type="noConversion"/>
  </si>
  <si>
    <t>Bourns Panel Mount Potentiometers 10K LINEAR 20%</t>
    <phoneticPr fontId="1" type="noConversion"/>
  </si>
  <si>
    <t>R_vol</t>
    <phoneticPr fontId="1" type="noConversion"/>
  </si>
  <si>
    <t>R_gnd</t>
    <phoneticPr fontId="1" type="noConversion"/>
  </si>
  <si>
    <t>R_pla</t>
    <phoneticPr fontId="1" type="noConversion"/>
  </si>
  <si>
    <t>V_pla</t>
    <phoneticPr fontId="1" type="noConversion"/>
  </si>
  <si>
    <t>V1.0에서 Volume이 180도 회전해서 실장되어 있음 - 아래 data는 180도 회전시켜 배치시켰을때를 기준으로 tuning함</t>
    <phoneticPr fontId="1" type="noConversion"/>
  </si>
  <si>
    <t>ADC</t>
    <phoneticPr fontId="1" type="noConversion"/>
  </si>
  <si>
    <t>Level</t>
    <phoneticPr fontId="1" type="noConversion"/>
  </si>
  <si>
    <t>Level step</t>
    <phoneticPr fontId="1" type="noConversion"/>
  </si>
  <si>
    <t>Vcc</t>
    <phoneticPr fontId="1" type="noConversion"/>
  </si>
  <si>
    <t>R_vol : volume 전체 저항</t>
    <phoneticPr fontId="1" type="noConversion"/>
  </si>
  <si>
    <t>R_pla : Volume Pin-1,2 사이 저항</t>
    <phoneticPr fontId="1" type="noConversion"/>
  </si>
  <si>
    <t>R_gnd : Volume Pin-2,3 사이 저항</t>
    <phoneticPr fontId="1" type="noConversion"/>
  </si>
  <si>
    <t>V_pla : PLA_CTRL 전압</t>
    <phoneticPr fontId="1" type="noConversion"/>
  </si>
  <si>
    <t>측정치</t>
    <phoneticPr fontId="1" type="noConversion"/>
  </si>
  <si>
    <t>계산치</t>
    <phoneticPr fontId="1" type="noConversion"/>
  </si>
  <si>
    <t>#1 measurement Results</t>
    <phoneticPr fontId="1" type="noConversion"/>
  </si>
  <si>
    <r>
      <t>10K</t>
    </r>
    <r>
      <rPr>
        <b/>
        <sz val="11"/>
        <color theme="1"/>
        <rFont val="맑은 고딕"/>
        <family val="3"/>
        <charset val="129"/>
      </rPr>
      <t>Ω 기준 계산치</t>
    </r>
    <phoneticPr fontId="1" type="noConversion"/>
  </si>
  <si>
    <t>Mode</t>
    <phoneticPr fontId="1" type="noConversion"/>
  </si>
  <si>
    <t>기본파
[KHz]</t>
    <phoneticPr fontId="1" type="noConversion"/>
  </si>
  <si>
    <t>1'st 구간 On time
[usec]</t>
    <phoneticPr fontId="1" type="noConversion"/>
  </si>
  <si>
    <t>BS</t>
    <phoneticPr fontId="1" type="noConversion"/>
  </si>
  <si>
    <t>WS</t>
    <phoneticPr fontId="1" type="noConversion"/>
  </si>
  <si>
    <t>RS</t>
    <phoneticPr fontId="1" type="noConversion"/>
  </si>
  <si>
    <t>시제품 측정 결과</t>
    <phoneticPr fontId="1" type="noConversion"/>
  </si>
  <si>
    <t xml:space="preserve">PWM Pulse </t>
    <phoneticPr fontId="1" type="noConversion"/>
  </si>
  <si>
    <t>Charging Review Data</t>
    <phoneticPr fontId="1" type="noConversion"/>
  </si>
  <si>
    <r>
      <t>Volume angle = 280</t>
    </r>
    <r>
      <rPr>
        <sz val="11"/>
        <color theme="1"/>
        <rFont val="맑은 고딕"/>
        <family val="3"/>
        <charset val="129"/>
      </rPr>
      <t>°</t>
    </r>
    <phoneticPr fontId="1" type="noConversion"/>
  </si>
  <si>
    <t>Full</t>
    <phoneticPr fontId="1" type="noConversion"/>
  </si>
  <si>
    <t>Step</t>
    <phoneticPr fontId="1" type="noConversion"/>
  </si>
  <si>
    <t>Step angle</t>
    <phoneticPr fontId="1" type="noConversion"/>
  </si>
  <si>
    <t>ADC step</t>
    <phoneticPr fontId="1" type="noConversion"/>
  </si>
  <si>
    <t>Center</t>
    <phoneticPr fontId="1" type="noConversion"/>
  </si>
  <si>
    <t>limit</t>
    <phoneticPr fontId="1" type="noConversion"/>
  </si>
  <si>
    <t>Low</t>
    <phoneticPr fontId="1" type="noConversion"/>
  </si>
  <si>
    <t>High</t>
    <phoneticPr fontId="1" type="noConversion"/>
  </si>
  <si>
    <t>=INT(float(ADC)/42+0.5)</t>
    <phoneticPr fontId="1" type="noConversion"/>
  </si>
  <si>
    <t>ADC1</t>
    <phoneticPr fontId="1" type="noConversion"/>
  </si>
  <si>
    <t>ADC_origin</t>
    <phoneticPr fontId="1" type="noConversion"/>
  </si>
  <si>
    <t>ADC2</t>
    <phoneticPr fontId="1" type="noConversion"/>
  </si>
  <si>
    <t>ADC_final</t>
    <phoneticPr fontId="1" type="noConversion"/>
  </si>
  <si>
    <t>/42</t>
    <phoneticPr fontId="1" type="noConversion"/>
  </si>
  <si>
    <t>INT()</t>
    <phoneticPr fontId="1" type="noConversion"/>
  </si>
  <si>
    <t>CHG_CTRL pin은 충전이 진행되면서 전압이 떨어진다.</t>
    <phoneticPr fontId="1" type="noConversion"/>
  </si>
  <si>
    <t>CHG_STA pin은 충전시 Low, 완충시 High를 출력한다.</t>
    <phoneticPr fontId="1" type="noConversion"/>
  </si>
  <si>
    <t>수면안대 Test results</t>
    <phoneticPr fontId="1" type="noConversion"/>
  </si>
  <si>
    <t>USB_VBUS</t>
    <phoneticPr fontId="1" type="noConversion"/>
  </si>
  <si>
    <t>BATT</t>
    <phoneticPr fontId="1" type="noConversion"/>
  </si>
  <si>
    <t>CHG_CTRL</t>
    <phoneticPr fontId="1" type="noConversion"/>
  </si>
  <si>
    <t>STAT</t>
    <phoneticPr fontId="1" type="noConversion"/>
  </si>
  <si>
    <t>V2.1 ON-drain</t>
    <phoneticPr fontId="1" type="noConversion"/>
  </si>
  <si>
    <t>V2.1 Input_PD</t>
    <phoneticPr fontId="1" type="noConversion"/>
  </si>
  <si>
    <t>w/ BATT</t>
    <phoneticPr fontId="1" type="noConversion"/>
  </si>
  <si>
    <t>w/o USB</t>
    <phoneticPr fontId="1" type="noConversion"/>
  </si>
  <si>
    <t>OFF</t>
    <phoneticPr fontId="1" type="noConversion"/>
  </si>
  <si>
    <t>V2.1 OFF</t>
    <phoneticPr fontId="1" type="noConversion"/>
  </si>
  <si>
    <t>V2.1 ON</t>
    <phoneticPr fontId="1" type="noConversion"/>
  </si>
  <si>
    <t>V2.1에서 OFF상태에서는 충전이 정상적으로 진행이 되지만, Power ON시 CHG_CTRL에 전압이 걸리지 않으며, STAT는 완충상태를 출력함</t>
    <phoneticPr fontId="1" type="noConversion"/>
  </si>
  <si>
    <t>GPIO를 Input Pull-Down으로 설정 - 정상 동작</t>
    <phoneticPr fontId="1" type="noConversion"/>
  </si>
  <si>
    <t>#1 Test results</t>
    <phoneticPr fontId="1" type="noConversion"/>
  </si>
  <si>
    <t>수면안대</t>
    <phoneticPr fontId="1" type="noConversion"/>
  </si>
  <si>
    <t>PROG</t>
    <phoneticPr fontId="1" type="noConversion"/>
  </si>
  <si>
    <t>CHG_CTRL</t>
    <phoneticPr fontId="1" type="noConversion"/>
  </si>
  <si>
    <t>OPEN</t>
    <phoneticPr fontId="1" type="noConversion"/>
  </si>
  <si>
    <t>20M</t>
    <phoneticPr fontId="1" type="noConversion"/>
  </si>
  <si>
    <t>V</t>
    <phoneticPr fontId="1" type="noConversion"/>
  </si>
  <si>
    <t>V</t>
    <phoneticPr fontId="1" type="noConversion"/>
  </si>
  <si>
    <t>Ω</t>
    <phoneticPr fontId="1" type="noConversion"/>
  </si>
  <si>
    <t>V</t>
    <phoneticPr fontId="1" type="noConversion"/>
  </si>
  <si>
    <t>Normal</t>
    <phoneticPr fontId="1" type="noConversion"/>
  </si>
  <si>
    <t>Charging</t>
    <phoneticPr fontId="1" type="noConversion"/>
  </si>
  <si>
    <t>Shutdown</t>
    <phoneticPr fontId="1" type="noConversion"/>
  </si>
  <si>
    <t>V_BATT</t>
    <phoneticPr fontId="1" type="noConversion"/>
  </si>
  <si>
    <t>R29</t>
    <phoneticPr fontId="1" type="noConversion"/>
  </si>
  <si>
    <t>R_prog</t>
    <phoneticPr fontId="1" type="noConversion"/>
  </si>
  <si>
    <t>V_prog</t>
    <phoneticPr fontId="1" type="noConversion"/>
  </si>
  <si>
    <t>V1.0</t>
    <phoneticPr fontId="1" type="noConversion"/>
  </si>
  <si>
    <t>Unit</t>
    <phoneticPr fontId="1" type="noConversion"/>
  </si>
  <si>
    <t>Vref</t>
    <phoneticPr fontId="7" type="noConversion"/>
  </si>
  <si>
    <t>V</t>
    <phoneticPr fontId="1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</si>
  <si>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1" type="noConversion"/>
  </si>
  <si>
    <t>B constant</t>
    <phoneticPr fontId="7" type="noConversion"/>
  </si>
  <si>
    <t>Temp</t>
    <phoneticPr fontId="7" type="noConversion"/>
  </si>
  <si>
    <t>Rth[Kohm]</t>
    <phoneticPr fontId="7" type="noConversion"/>
  </si>
  <si>
    <t>Vtherm</t>
    <phoneticPr fontId="7" type="noConversion"/>
  </si>
  <si>
    <t>ADC</t>
    <phoneticPr fontId="7" type="noConversion"/>
  </si>
  <si>
    <t>V2.1 Battery ADC table</t>
    <phoneticPr fontId="7" type="noConversion"/>
  </si>
  <si>
    <t>Battery
Voltage</t>
    <phoneticPr fontId="7" type="noConversion"/>
  </si>
  <si>
    <t>Resolution</t>
    <phoneticPr fontId="1" type="noConversion"/>
  </si>
  <si>
    <t>편차
[%]</t>
    <phoneticPr fontId="1" type="noConversion"/>
  </si>
  <si>
    <t>ADC</t>
    <phoneticPr fontId="7" type="noConversion"/>
  </si>
  <si>
    <t>V</t>
    <phoneticPr fontId="1" type="noConversion"/>
  </si>
  <si>
    <t>ADC</t>
    <phoneticPr fontId="1" type="noConversion"/>
  </si>
  <si>
    <t>ADC</t>
    <phoneticPr fontId="7" type="noConversion"/>
  </si>
  <si>
    <t>Resolution</t>
    <phoneticPr fontId="1" type="noConversion"/>
  </si>
  <si>
    <t>Low battery : RED</t>
    <phoneticPr fontId="1" type="noConversion"/>
  </si>
  <si>
    <t>ADC Reference Voltage보다 낮아져 ADC detect이 안됨</t>
    <phoneticPr fontId="1" type="noConversion"/>
  </si>
  <si>
    <t>ADC</t>
    <phoneticPr fontId="1" type="noConversion"/>
  </si>
  <si>
    <t>V</t>
    <phoneticPr fontId="1" type="noConversion"/>
  </si>
  <si>
    <t>Cut-off Voltage ADC : 194</t>
    <phoneticPr fontId="1" type="noConversion"/>
  </si>
  <si>
    <t>Low battery ADC : 200</t>
    <phoneticPr fontId="1" type="noConversion"/>
  </si>
  <si>
    <t>Full battery ADC : 240</t>
    <phoneticPr fontId="1" type="noConversion"/>
  </si>
  <si>
    <t>Boost</t>
    <phoneticPr fontId="1" type="noConversion"/>
  </si>
  <si>
    <t>Vin</t>
    <phoneticPr fontId="1" type="noConversion"/>
  </si>
  <si>
    <t>Vout</t>
    <phoneticPr fontId="1" type="noConversion"/>
  </si>
  <si>
    <t>Iout[mA]</t>
    <phoneticPr fontId="1" type="noConversion"/>
  </si>
  <si>
    <t>Iout=100mA</t>
    <phoneticPr fontId="1" type="noConversion"/>
  </si>
  <si>
    <t>Efficiency[%]</t>
    <phoneticPr fontId="1" type="noConversion"/>
  </si>
  <si>
    <t>Protection</t>
    <phoneticPr fontId="1" type="noConversion"/>
  </si>
  <si>
    <t>Package</t>
    <phoneticPr fontId="1" type="noConversion"/>
  </si>
  <si>
    <t>Size</t>
    <phoneticPr fontId="1" type="noConversion"/>
  </si>
  <si>
    <t>Min</t>
    <phoneticPr fontId="1" type="noConversion"/>
  </si>
  <si>
    <t>Max</t>
    <phoneticPr fontId="1" type="noConversion"/>
  </si>
  <si>
    <t>typ</t>
    <phoneticPr fontId="1" type="noConversion"/>
  </si>
  <si>
    <t>Vin=3.3V</t>
    <phoneticPr fontId="1" type="noConversion"/>
  </si>
  <si>
    <t>Short Circuit</t>
    <phoneticPr fontId="1" type="noConversion"/>
  </si>
  <si>
    <t>Over-Voltage</t>
    <phoneticPr fontId="1" type="noConversion"/>
  </si>
  <si>
    <t>Thermal Shutdown</t>
    <phoneticPr fontId="1" type="noConversion"/>
  </si>
  <si>
    <t>TLV61046ADBVR</t>
    <phoneticPr fontId="1" type="noConversion"/>
  </si>
  <si>
    <t>TI</t>
    <phoneticPr fontId="1" type="noConversion"/>
  </si>
  <si>
    <t>-</t>
    <phoneticPr fontId="1" type="noConversion"/>
  </si>
  <si>
    <t>OK</t>
    <phoneticPr fontId="1" type="noConversion"/>
  </si>
  <si>
    <t>SOT23-6</t>
    <phoneticPr fontId="1" type="noConversion"/>
  </si>
  <si>
    <t>2.9x1.6</t>
    <phoneticPr fontId="1" type="noConversion"/>
  </si>
  <si>
    <t>LM27313</t>
    <phoneticPr fontId="1" type="noConversion"/>
  </si>
  <si>
    <t>TI</t>
    <phoneticPr fontId="1" type="noConversion"/>
  </si>
  <si>
    <t>OK</t>
    <phoneticPr fontId="1" type="noConversion"/>
  </si>
  <si>
    <t>SOT23-5</t>
    <phoneticPr fontId="1" type="noConversion"/>
  </si>
  <si>
    <t>2.9x1.6</t>
    <phoneticPr fontId="1" type="noConversion"/>
  </si>
  <si>
    <t>LM2735XMF</t>
    <phoneticPr fontId="1" type="noConversion"/>
  </si>
  <si>
    <t>TI</t>
    <phoneticPr fontId="1" type="noConversion"/>
  </si>
  <si>
    <t>TLV61046ADBVR</t>
    <phoneticPr fontId="1" type="noConversion"/>
  </si>
  <si>
    <t>The TLV61046A has an internal default 12-V output voltage setting by connecting the FB pin to the VIN pin.</t>
    <phoneticPr fontId="1" type="noConversion"/>
  </si>
  <si>
    <t>LM27313</t>
    <phoneticPr fontId="1" type="noConversion"/>
  </si>
  <si>
    <t>Vout</t>
    <phoneticPr fontId="1" type="noConversion"/>
  </si>
  <si>
    <t>V</t>
    <phoneticPr fontId="1" type="noConversion"/>
  </si>
  <si>
    <t>Vref</t>
    <phoneticPr fontId="1" type="noConversion"/>
  </si>
  <si>
    <t>R1</t>
    <phoneticPr fontId="1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</si>
  <si>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1" type="noConversion"/>
  </si>
  <si>
    <t>Fzero</t>
    <phoneticPr fontId="1" type="noConversion"/>
  </si>
  <si>
    <t>KHz</t>
    <phoneticPr fontId="1" type="noConversion"/>
  </si>
  <si>
    <t>C3</t>
    <phoneticPr fontId="1" type="noConversion"/>
  </si>
  <si>
    <t>nF</t>
    <phoneticPr fontId="1" type="noConversion"/>
  </si>
  <si>
    <t>switching frequency : 520 kHz or 1.6 MHz</t>
    <phoneticPr fontId="1" type="noConversion"/>
  </si>
  <si>
    <t>current-mode control</t>
    <phoneticPr fontId="1" type="noConversion"/>
  </si>
  <si>
    <r>
      <t xml:space="preserve">Control Logic이 High 인경우, Device shotdown됨 : EN=Low, Thermal=High, Vin&lt;2.3V, </t>
    </r>
    <r>
      <rPr>
        <sz val="11"/>
        <color rgb="FFFF0000"/>
        <rFont val="맑은 고딕"/>
        <family val="3"/>
        <charset val="129"/>
        <scheme val="minor"/>
      </rPr>
      <t>I_limit=High</t>
    </r>
    <phoneticPr fontId="1" type="noConversion"/>
  </si>
  <si>
    <t>Vin</t>
    <phoneticPr fontId="1" type="noConversion"/>
  </si>
  <si>
    <t>LM2735Y (520 kHz)</t>
    <phoneticPr fontId="1" type="noConversion"/>
  </si>
  <si>
    <t>LM2735X (1.6 MHz)</t>
    <phoneticPr fontId="1" type="noConversion"/>
  </si>
  <si>
    <t>Iout</t>
    <phoneticPr fontId="1" type="noConversion"/>
  </si>
  <si>
    <t>LM2735 Type</t>
    <phoneticPr fontId="1" type="noConversion"/>
  </si>
  <si>
    <t>X</t>
    <phoneticPr fontId="1" type="noConversion"/>
  </si>
  <si>
    <t>Y</t>
    <phoneticPr fontId="1" type="noConversion"/>
  </si>
  <si>
    <t>C1, Input Capacitor</t>
    <phoneticPr fontId="1" type="noConversion"/>
  </si>
  <si>
    <t>uF, 6.3V, X5R</t>
    <phoneticPr fontId="1" type="noConversion"/>
  </si>
  <si>
    <t>C2 Output Capacitor</t>
    <phoneticPr fontId="1" type="noConversion"/>
  </si>
  <si>
    <t>uF, 25V, X5R</t>
    <phoneticPr fontId="1" type="noConversion"/>
  </si>
  <si>
    <t>C3 Comp Capacitor</t>
    <phoneticPr fontId="1" type="noConversion"/>
  </si>
  <si>
    <t>pF</t>
    <phoneticPr fontId="1" type="noConversion"/>
  </si>
  <si>
    <t>D1, Catch Diode</t>
    <phoneticPr fontId="1" type="noConversion"/>
  </si>
  <si>
    <t>STPS120M</t>
    <phoneticPr fontId="1" type="noConversion"/>
  </si>
  <si>
    <t>0.4 Vf Schottky 1 A, 20 VR</t>
    <phoneticPr fontId="1" type="noConversion"/>
  </si>
  <si>
    <t>L1</t>
    <phoneticPr fontId="1" type="noConversion"/>
  </si>
  <si>
    <t>μH 1.5 A</t>
    <phoneticPr fontId="1" type="noConversion"/>
  </si>
  <si>
    <t>kΩ, 1%</t>
    <phoneticPr fontId="1" type="noConversion"/>
  </si>
  <si>
    <t>R3</t>
    <phoneticPr fontId="1" type="noConversion"/>
  </si>
  <si>
    <t>Vout Calculation</t>
    <phoneticPr fontId="1" type="noConversion"/>
  </si>
  <si>
    <t>Function</t>
    <phoneticPr fontId="1" type="noConversion"/>
  </si>
  <si>
    <t>PN</t>
    <phoneticPr fontId="1" type="noConversion"/>
  </si>
  <si>
    <t>Vendor</t>
    <phoneticPr fontId="1" type="noConversion"/>
  </si>
  <si>
    <t>Description</t>
    <phoneticPr fontId="1" type="noConversion"/>
  </si>
  <si>
    <t>Cost[$]</t>
    <phoneticPr fontId="1" type="noConversion"/>
  </si>
  <si>
    <t>Cost[\]</t>
    <phoneticPr fontId="1" type="noConversion"/>
  </si>
  <si>
    <t>Agency</t>
    <phoneticPr fontId="1" type="noConversion"/>
  </si>
  <si>
    <t>Boost</t>
    <phoneticPr fontId="1" type="noConversion"/>
  </si>
  <si>
    <t>1.6-MHz Space-Efficient Boost and SEPIC DC-DC Regulator 24V 2.1A</t>
    <phoneticPr fontId="1" type="noConversion"/>
  </si>
  <si>
    <t>ICbanQ</t>
    <phoneticPr fontId="1" type="noConversion"/>
  </si>
  <si>
    <t>ST</t>
    <phoneticPr fontId="1" type="noConversion"/>
  </si>
  <si>
    <t xml:space="preserve">1.0 Amp 20 Volt </t>
    <phoneticPr fontId="1" type="noConversion"/>
  </si>
  <si>
    <t>MSS5131-153ML</t>
    <phoneticPr fontId="1" type="noConversion"/>
  </si>
  <si>
    <t>Coilcraft</t>
    <phoneticPr fontId="1" type="noConversion"/>
  </si>
  <si>
    <t xml:space="preserve">INDUCTOR, PWR, 15UH, 1.5A, 20%,32MHZ </t>
    <phoneticPr fontId="1" type="noConversion"/>
  </si>
  <si>
    <t>Vfb_ini</t>
    <phoneticPr fontId="1" type="noConversion"/>
  </si>
  <si>
    <t>Vin</t>
    <phoneticPr fontId="1" type="noConversion"/>
  </si>
  <si>
    <t>R2</t>
    <phoneticPr fontId="1" type="noConversion"/>
  </si>
  <si>
    <t>R2</t>
    <phoneticPr fontId="1" type="noConversion"/>
  </si>
  <si>
    <t>R1</t>
    <phoneticPr fontId="1" type="noConversion"/>
  </si>
  <si>
    <t>R2</t>
    <phoneticPr fontId="1" type="noConversion"/>
  </si>
  <si>
    <t>R1</t>
    <phoneticPr fontId="1" type="noConversion"/>
  </si>
  <si>
    <t>SPAN</t>
    <phoneticPr fontId="1" type="noConversion"/>
  </si>
  <si>
    <t>STEP</t>
    <phoneticPr fontId="1" type="noConversion"/>
  </si>
  <si>
    <t>Level</t>
    <phoneticPr fontId="1" type="noConversion"/>
  </si>
  <si>
    <t>msec</t>
    <phoneticPr fontId="1" type="noConversion"/>
  </si>
  <si>
    <t>ADC</t>
    <phoneticPr fontId="1" type="noConversion"/>
  </si>
  <si>
    <t>PlasmaADCStep</t>
    <phoneticPr fontId="1" type="noConversion"/>
  </si>
  <si>
    <t>uint32_t getPlasmaVolLevel()</t>
  </si>
  <si>
    <t>{</t>
  </si>
  <si>
    <t>uint32_t PlasmaVolLevel = 0, PlasmaADCStep = 0;</t>
  </si>
  <si>
    <t>PlasmaADCStep = 255/(PLASMA_STEP_TIME_PWM_MSEC-1);</t>
  </si>
  <si>
    <t>PlasmaVolLevel = (float)(((255-PlasmaVol)/PlasmaADCStep)+1.5);</t>
  </si>
  <si>
    <t>return PlasmaVolLevel;</t>
  </si>
  <si>
    <t>}</t>
  </si>
  <si>
    <t>uint32_t getPlasmaTime(boolean *isOnFlag)</t>
  </si>
  <si>
    <t>uint32_t ret_val, ontime;</t>
  </si>
  <si>
    <t>// on time</t>
  </si>
  <si>
    <t>//ontime = (PLASMA_MIN_ON_TIME_PWM_MSEC + ( (PLASMA_MAX_ON_TIME_PWM_MSEC )/255)*PlasmaVol);</t>
  </si>
  <si>
    <t>ontime = (PLASMA_SPAN_TIME_PWM_MSEC/PLASMA_STEP_TIME_PWM_MSEC)*getPlasmaVolLevel();</t>
  </si>
  <si>
    <t>if(*isOnFlag)</t>
  </si>
  <si>
    <t>if(ontime &lt; PLASMA_SPAN_TIME_PWM_MSEC)</t>
  </si>
  <si>
    <t>*isOnFlag = FALSE;</t>
  </si>
  <si>
    <t>ret_val = ontime;</t>
  </si>
  <si>
    <t>else{</t>
  </si>
  <si>
    <t>*isOnFlag = TRUE;</t>
  </si>
  <si>
    <t>else</t>
  </si>
  <si>
    <t>ret_val = PLASMA_SPAN_TIME_PWM_MSEC - ontime;</t>
  </si>
  <si>
    <t>//ret_val = (PLASMA_MIN_ON_TIME_PWM_MSEC + PLASMA_MAX_ON_TIME_PWM_MSEC) - ontime;</t>
  </si>
  <si>
    <t>/*</t>
  </si>
  <si>
    <t>if(ret_val == 0)</t>
  </si>
  <si>
    <t>*/</t>
  </si>
  <si>
    <t xml:space="preserve">    return ret_val;</t>
  </si>
  <si>
    <t>#endif</t>
  </si>
  <si>
    <t>Function</t>
    <phoneticPr fontId="1" type="noConversion"/>
  </si>
  <si>
    <t>Status LED</t>
    <phoneticPr fontId="1" type="noConversion"/>
  </si>
  <si>
    <t>Normal - Blue</t>
    <phoneticPr fontId="1" type="noConversion"/>
  </si>
  <si>
    <t>충전 - RED</t>
    <phoneticPr fontId="1" type="noConversion"/>
  </si>
  <si>
    <t>완충 - Green</t>
    <phoneticPr fontId="1" type="noConversion"/>
  </si>
  <si>
    <t>Low B - RED Blink</t>
    <phoneticPr fontId="1" type="noConversion"/>
  </si>
  <si>
    <t>OP KEY</t>
    <phoneticPr fontId="1" type="noConversion"/>
  </si>
  <si>
    <t>usec</t>
    <phoneticPr fontId="1" type="noConversion"/>
  </si>
  <si>
    <t>KHz</t>
    <phoneticPr fontId="1" type="noConversion"/>
  </si>
  <si>
    <t>Time Gap</t>
    <phoneticPr fontId="1" type="noConversion"/>
  </si>
  <si>
    <t>BAT_ADC</t>
    <phoneticPr fontId="7" type="noConversion"/>
  </si>
  <si>
    <t>#2 측정치</t>
    <phoneticPr fontId="1" type="noConversion"/>
  </si>
  <si>
    <t>상온에서 130 display</t>
    <phoneticPr fontId="1" type="noConversion"/>
  </si>
  <si>
    <t>R1</t>
    <phoneticPr fontId="7" type="noConversion"/>
  </si>
  <si>
    <t>V1.0 Battery thermistor ADC</t>
    <phoneticPr fontId="7" type="noConversion"/>
  </si>
  <si>
    <t>Issue #16 - Always On 상태에서의 OFF 구간 발생</t>
    <phoneticPr fontId="1" type="noConversion"/>
  </si>
  <si>
    <t>Issue #13 - Transformer 연결시 Pulse On 상태에서 Battery 및 Booster 전압이 흔들림</t>
    <phoneticPr fontId="1" type="noConversion"/>
  </si>
  <si>
    <t>=&gt; PWM pulse1,2가 switching 되는 구간에서 Transformer가 switching 속도를 따라가지 못해 순간적으로 short 상태가 발생하여 생기는 문제임</t>
    <phoneticPr fontId="1" type="noConversion"/>
  </si>
  <si>
    <t>PWM pulse</t>
    <phoneticPr fontId="1" type="noConversion"/>
  </si>
  <si>
    <t>Transforment output 및 Booster 전압</t>
    <phoneticPr fontId="1" type="noConversion"/>
  </si>
  <si>
    <t>Transforment output 및 Battery 전압</t>
    <phoneticPr fontId="1" type="noConversion"/>
  </si>
  <si>
    <t>1) Duty를 45%로 줄여서 한쪽 overlap 구간을 제거함</t>
    <phoneticPr fontId="1" type="noConversion"/>
  </si>
  <si>
    <t>=&gt; Booster 전압에서 개선됨. Battery 전압은 크게 차이 없음</t>
    <phoneticPr fontId="1" type="noConversion"/>
  </si>
  <si>
    <t>3) 1'st 구간 On time</t>
    <phoneticPr fontId="1" type="noConversion"/>
  </si>
  <si>
    <t>1차 구간 Time gap
[msec]</t>
    <phoneticPr fontId="1" type="noConversion"/>
  </si>
  <si>
    <t>1차 구간 Time gap</t>
    <phoneticPr fontId="1" type="noConversion"/>
  </si>
  <si>
    <t>2차 구간 Time gap
[msec]</t>
    <phoneticPr fontId="1" type="noConversion"/>
  </si>
  <si>
    <t>2차 구간 Time gap</t>
    <phoneticPr fontId="1" type="noConversion"/>
  </si>
  <si>
    <t>Transforment output</t>
    <phoneticPr fontId="1" type="noConversion"/>
  </si>
  <si>
    <t>Booster 전압</t>
    <phoneticPr fontId="1" type="noConversion"/>
  </si>
  <si>
    <t>2) C13 : 10uF/25V 추가 , C1 : 47uF/6.3V 추가 - Voltage drop 동일함</t>
    <phoneticPr fontId="1" type="noConversion"/>
  </si>
  <si>
    <t>3) Battery를 연결하여 Voltage drop을 떨어뜨림, TIM1_CH3, TIM3_CH1을 사용하여 Duty 및 Pulse 1,2 switching 구간의 Gap을 추가함</t>
    <phoneticPr fontId="1" type="noConversion"/>
  </si>
  <si>
    <t>=&gt; Dummy battery 사용시 wire에서 voltage drop이 추가적으로 발생함</t>
    <phoneticPr fontId="1" type="noConversion"/>
  </si>
  <si>
    <t>ECO</t>
    <phoneticPr fontId="1" type="noConversion"/>
  </si>
  <si>
    <t>R10,R11</t>
    <phoneticPr fontId="1" type="noConversion"/>
  </si>
  <si>
    <t>GPIO</t>
    <phoneticPr fontId="1" type="noConversion"/>
  </si>
  <si>
    <t>GPIO_PULLDOWN</t>
    <phoneticPr fontId="1" type="noConversion"/>
  </si>
  <si>
    <t>GPIO_NOPULL</t>
    <phoneticPr fontId="1" type="noConversion"/>
  </si>
  <si>
    <t>GPIO_PULLUP</t>
    <phoneticPr fontId="1" type="noConversion"/>
  </si>
  <si>
    <t>GPIO_MODE_AF_PP</t>
    <phoneticPr fontId="1" type="noConversion"/>
  </si>
  <si>
    <t>GPIO_MODE_AF_OD</t>
    <phoneticPr fontId="1" type="noConversion"/>
  </si>
  <si>
    <t>방전 time</t>
    <phoneticPr fontId="1" type="noConversion"/>
  </si>
  <si>
    <t>PWM</t>
    <phoneticPr fontId="1" type="noConversion"/>
  </si>
  <si>
    <t>out</t>
    <phoneticPr fontId="1" type="noConversion"/>
  </si>
  <si>
    <t>No operation</t>
    <phoneticPr fontId="1" type="noConversion"/>
  </si>
  <si>
    <t>-</t>
    <phoneticPr fontId="1" type="noConversion"/>
  </si>
  <si>
    <t>GPIO_SPEED_FREQ_LOW</t>
    <phoneticPr fontId="1" type="noConversion"/>
  </si>
  <si>
    <t>MODE</t>
    <phoneticPr fontId="1" type="noConversion"/>
  </si>
  <si>
    <t>Speed</t>
    <phoneticPr fontId="1" type="noConversion"/>
  </si>
  <si>
    <t>image</t>
    <phoneticPr fontId="1" type="noConversion"/>
  </si>
  <si>
    <t>GPIO_SPEED_FREQ_HIGH</t>
    <phoneticPr fontId="1" type="noConversion"/>
  </si>
  <si>
    <t>1대비 High시 overshoot 발생</t>
    <phoneticPr fontId="1" type="noConversion"/>
  </si>
  <si>
    <t>void Plasma_Pause(void)</t>
  </si>
  <si>
    <t>MX_TIM1_Init(PLASMA_FREQ, PLASMA_FREQ/2, TRUE);</t>
    <phoneticPr fontId="1" type="noConversion"/>
  </si>
  <si>
    <t>변화 없음</t>
    <phoneticPr fontId="1" type="noConversion"/>
  </si>
  <si>
    <t>void Plasma_Pause(void)</t>
    <phoneticPr fontId="1" type="noConversion"/>
  </si>
  <si>
    <t xml:space="preserve">    HAL_TIM_PWM_Stop(&amp;htim1,TIM_CHANNEL_1);</t>
  </si>
  <si>
    <t xml:space="preserve">    HAL_TIM_PWM_Stop(&amp;htim1,TIM_CHANNEL_4);</t>
  </si>
  <si>
    <t>CH1은 그대이고, CH2는 바로 OFF 됨</t>
    <phoneticPr fontId="1" type="noConversion"/>
  </si>
  <si>
    <t>MX_TIM1_Init(PLASMA_FREQ, PLASMA_FREQ/2, FALSE);</t>
    <phoneticPr fontId="1" type="noConversion"/>
  </si>
  <si>
    <t>CH1,2 short</t>
    <phoneticPr fontId="1" type="noConversion"/>
  </si>
  <si>
    <t>CH1,2 Long</t>
    <phoneticPr fontId="1" type="noConversion"/>
  </si>
  <si>
    <t>CH1,2 High 유지</t>
    <phoneticPr fontId="1" type="noConversion"/>
  </si>
  <si>
    <t>CH1 short, CH2 OFF</t>
    <phoneticPr fontId="1" type="noConversion"/>
  </si>
  <si>
    <t>CH1의 마지막 파형이 duty 100%가 됨</t>
    <phoneticPr fontId="1" type="noConversion"/>
  </si>
  <si>
    <t>CH2에 다시 방전 time 발생</t>
    <phoneticPr fontId="1" type="noConversion"/>
  </si>
  <si>
    <t>OCPolarity</t>
    <phoneticPr fontId="1" type="noConversion"/>
  </si>
  <si>
    <t>OCNPolarity</t>
    <phoneticPr fontId="1" type="noConversion"/>
  </si>
  <si>
    <t>HIGH</t>
    <phoneticPr fontId="1" type="noConversion"/>
  </si>
  <si>
    <t>CH1</t>
    <phoneticPr fontId="1" type="noConversion"/>
  </si>
  <si>
    <t>CH2</t>
    <phoneticPr fontId="1" type="noConversion"/>
  </si>
  <si>
    <t>LOW</t>
    <phoneticPr fontId="1" type="noConversion"/>
  </si>
  <si>
    <t>CH1 OFF, CH2 OFF</t>
    <phoneticPr fontId="1" type="noConversion"/>
  </si>
  <si>
    <t>CH1 OFF, CH2 short</t>
    <phoneticPr fontId="1" type="noConversion"/>
  </si>
  <si>
    <t>htim1.Init.RepetitionCounter = 1;</t>
    <phoneticPr fontId="1" type="noConversion"/>
  </si>
  <si>
    <t>AutoReloadPreload = TIM_AUTORELOAD_PRELOAD_DISABLE</t>
    <phoneticPr fontId="1" type="noConversion"/>
  </si>
  <si>
    <t>RepetitionCounter = 1;</t>
    <phoneticPr fontId="1" type="noConversion"/>
  </si>
  <si>
    <t>CH1 w/ Transformer</t>
    <phoneticPr fontId="1" type="noConversion"/>
  </si>
  <si>
    <t>CH2 w/ Transformer</t>
    <phoneticPr fontId="1" type="noConversion"/>
  </si>
  <si>
    <t>#3 Origin State - CH1,2 short 방전 time</t>
    <phoneticPr fontId="1" type="noConversion"/>
  </si>
  <si>
    <t>#3 Origin State - CH1 short 방전 time / CH2 OFF</t>
    <phoneticPr fontId="1" type="noConversion"/>
  </si>
  <si>
    <t>4) CounterMode를 TIM_COUNTERMODE_CENTERALIGNED1로 변경</t>
    <phoneticPr fontId="1" type="noConversion"/>
  </si>
  <si>
    <t>usec</t>
    <phoneticPr fontId="1" type="noConversion"/>
  </si>
  <si>
    <t>Vboost</t>
    <phoneticPr fontId="1" type="noConversion"/>
  </si>
  <si>
    <t>Vfb</t>
    <phoneticPr fontId="1" type="noConversion"/>
  </si>
  <si>
    <t>5) 1/2 Jsyoon source</t>
    <phoneticPr fontId="1" type="noConversion"/>
  </si>
  <si>
    <t>Transforment output 및 Battery 전압 - Battery 2ea parallel연결 ( 1A )</t>
    <phoneticPr fontId="1" type="noConversion"/>
  </si>
  <si>
    <t>3. RS-232</t>
    <phoneticPr fontId="1" type="noConversion"/>
  </si>
  <si>
    <t>외부 장치와의 interface 역할을 하므로 외부장치 RTx level에 맞춰준다 ( normal 5V )</t>
    <phoneticPr fontId="1" type="noConversion"/>
  </si>
  <si>
    <t>통신 특징</t>
    <phoneticPr fontId="1" type="noConversion"/>
  </si>
  <si>
    <t>Serial communication</t>
    <phoneticPr fontId="1" type="noConversion"/>
  </si>
  <si>
    <t>테이터는 한번에 1bit씩 전송됨</t>
    <phoneticPr fontId="1" type="noConversion"/>
  </si>
  <si>
    <t>1 frame : 8bit ( LSB(bit0)가 먼저 전송이 되고, MSB가 마지막에 전송이 됨</t>
    <phoneticPr fontId="1" type="noConversion"/>
  </si>
  <si>
    <t>비동기식 : clock이 필요없음</t>
    <phoneticPr fontId="1" type="noConversion"/>
  </si>
  <si>
    <t>master, slave간 buard rate(전송속도)를 맞춰줘야 함</t>
    <phoneticPr fontId="1" type="noConversion"/>
  </si>
  <si>
    <t>전송속도</t>
    <phoneticPr fontId="1" type="noConversion"/>
  </si>
  <si>
    <t>bauds</t>
    <phoneticPr fontId="1" type="noConversion"/>
  </si>
  <si>
    <t>msec/bits</t>
    <phoneticPr fontId="1" type="noConversion"/>
  </si>
  <si>
    <t>msec/8bit</t>
    <phoneticPr fontId="1" type="noConversion"/>
  </si>
  <si>
    <t>msec/10bit</t>
    <phoneticPr fontId="1" type="noConversion"/>
  </si>
  <si>
    <t>KByte/s</t>
    <phoneticPr fontId="1" type="noConversion"/>
  </si>
  <si>
    <t>통신 방법</t>
    <phoneticPr fontId="1" type="noConversion"/>
  </si>
  <si>
    <t>DB-9 connector</t>
    <phoneticPr fontId="1" type="noConversion"/>
  </si>
  <si>
    <t>Pin-2 : RXD ( 수신 데이터)</t>
    <phoneticPr fontId="1" type="noConversion"/>
  </si>
  <si>
    <t>Pin-3 : TXD ( 송신 데이터)</t>
    <phoneticPr fontId="1" type="noConversion"/>
  </si>
  <si>
    <t>Pin-5 : GND</t>
    <phoneticPr fontId="1" type="noConversion"/>
  </si>
  <si>
    <t xml:space="preserve">data를 전송전에 시작신호 '0'를 전송하며, 그 이후 buard rate에 맞춰 8bit를 data를 수신하며, </t>
    <phoneticPr fontId="1" type="noConversion"/>
  </si>
  <si>
    <t>마지막에 정지 신호로 '1'를 전송한다.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</si>
</sst>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1" formatCode="_-* #,##0_-;\-* #,##0_-;_-* &quot;-&quot;_-;_-@_-"/>
    <numFmt numFmtId="176" formatCode="&quot;#&quot;00"/>
    <numFmt numFmtId="177" formatCode="0.0"/>
    <numFmt numFmtId="178" formatCode="0.000"/>
  </numFmts>
  <fonts count="11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</font>
    <font>
      <b/>
      <sz val="11"/>
      <color rgb="FF0000FF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</fills>
  <borders count="38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2">
    <xf numFmtId="0" fontId="0" fillId="0" borderId="0"/>
    <xf numFmtId="41" fontId="9" fillId="0" borderId="0" applyFont="0" applyFill="0" applyBorder="0" applyAlignment="0" applyProtection="0">
      <alignment vertical="center"/>
    </xf>
  </cellStyleXfs>
  <cellXfs count="225">
    <xf numFmtId="0" fontId="0" fillId="0" borderId="0" xfId="0"/>
    <xf numFmtId="0" fontId="0" fillId="0" borderId="0" xfId="0" applyAlignment="1">
      <alignment horizontal="center"/>
    </xf>
    <xf numFmtId="176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/>
    <xf numFmtId="0" fontId="0" fillId="0" borderId="0" xfId="0" applyAlignment="1">
      <alignment horizontal="left"/>
    </xf>
    <xf numFmtId="0" fontId="0" fillId="0" borderId="2" xfId="0" applyBorder="1" applyAlignment="1">
      <alignment horizontal="center"/>
    </xf>
    <xf numFmtId="0" fontId="0" fillId="0" borderId="5" xfId="0" applyBorder="1"/>
    <xf numFmtId="0" fontId="0" fillId="0" borderId="6" xfId="0" applyBorder="1"/>
    <xf numFmtId="0" fontId="0" fillId="0" borderId="4" xfId="0" applyBorder="1"/>
    <xf numFmtId="177" fontId="0" fillId="0" borderId="5" xfId="0" applyNumberFormat="1" applyBorder="1"/>
    <xf numFmtId="177" fontId="0" fillId="0" borderId="6" xfId="0" applyNumberFormat="1" applyBorder="1"/>
    <xf numFmtId="0" fontId="0" fillId="0" borderId="7" xfId="0" applyBorder="1"/>
    <xf numFmtId="0" fontId="0" fillId="0" borderId="8" xfId="0" applyBorder="1"/>
    <xf numFmtId="177" fontId="0" fillId="0" borderId="8" xfId="0" applyNumberFormat="1" applyBorder="1"/>
    <xf numFmtId="177" fontId="0" fillId="0" borderId="9" xfId="0" applyNumberFormat="1" applyBorder="1"/>
    <xf numFmtId="0" fontId="0" fillId="0" borderId="1" xfId="0" applyBorder="1"/>
    <xf numFmtId="0" fontId="0" fillId="0" borderId="3" xfId="0" applyBorder="1"/>
    <xf numFmtId="0" fontId="0" fillId="0" borderId="9" xfId="0" applyBorder="1"/>
    <xf numFmtId="178" fontId="0" fillId="0" borderId="5" xfId="0" applyNumberFormat="1" applyBorder="1"/>
    <xf numFmtId="2" fontId="0" fillId="0" borderId="5" xfId="0" applyNumberFormat="1" applyBorder="1"/>
    <xf numFmtId="178" fontId="0" fillId="0" borderId="8" xfId="0" applyNumberFormat="1" applyBorder="1"/>
    <xf numFmtId="2" fontId="0" fillId="0" borderId="8" xfId="0" applyNumberFormat="1" applyBorder="1"/>
    <xf numFmtId="0" fontId="2" fillId="0" borderId="4" xfId="0" applyFont="1" applyBorder="1" applyAlignment="1">
      <alignment horizontal="center"/>
    </xf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178" fontId="0" fillId="0" borderId="13" xfId="0" applyNumberFormat="1" applyBorder="1"/>
    <xf numFmtId="2" fontId="0" fillId="0" borderId="13" xfId="0" applyNumberFormat="1" applyBorder="1"/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8" xfId="0" applyFont="1" applyBorder="1"/>
    <xf numFmtId="0" fontId="2" fillId="0" borderId="15" xfId="0" applyFont="1" applyBorder="1"/>
    <xf numFmtId="0" fontId="2" fillId="0" borderId="16" xfId="0" applyFont="1" applyBorder="1"/>
    <xf numFmtId="0" fontId="2" fillId="0" borderId="17" xfId="0" applyFont="1" applyBorder="1" applyAlignment="1">
      <alignment vertical="center"/>
    </xf>
    <xf numFmtId="0" fontId="2" fillId="0" borderId="1" xfId="0" applyFont="1" applyBorder="1" applyAlignment="1">
      <alignment horizontal="center"/>
    </xf>
    <xf numFmtId="0" fontId="0" fillId="0" borderId="2" xfId="0" applyBorder="1"/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177" fontId="0" fillId="0" borderId="20" xfId="0" applyNumberFormat="1" applyBorder="1"/>
    <xf numFmtId="177" fontId="0" fillId="0" borderId="23" xfId="0" applyNumberFormat="1" applyBorder="1"/>
    <xf numFmtId="177" fontId="0" fillId="0" borderId="22" xfId="0" applyNumberFormat="1" applyBorder="1"/>
    <xf numFmtId="177" fontId="0" fillId="0" borderId="1" xfId="0" applyNumberFormat="1" applyBorder="1"/>
    <xf numFmtId="177" fontId="0" fillId="0" borderId="2" xfId="0" applyNumberFormat="1" applyBorder="1"/>
    <xf numFmtId="177" fontId="0" fillId="0" borderId="3" xfId="0" applyNumberFormat="1" applyBorder="1"/>
    <xf numFmtId="177" fontId="0" fillId="0" borderId="4" xfId="0" applyNumberFormat="1" applyBorder="1"/>
    <xf numFmtId="177" fontId="0" fillId="0" borderId="7" xfId="0" applyNumberFormat="1" applyBorder="1"/>
    <xf numFmtId="0" fontId="2" fillId="2" borderId="15" xfId="0" applyFont="1" applyFill="1" applyBorder="1" applyAlignment="1">
      <alignment horizontal="center"/>
    </xf>
    <xf numFmtId="0" fontId="2" fillId="2" borderId="24" xfId="0" applyFont="1" applyFill="1" applyBorder="1" applyAlignment="1">
      <alignment horizontal="center"/>
    </xf>
    <xf numFmtId="0" fontId="2" fillId="2" borderId="16" xfId="0" applyFont="1" applyFill="1" applyBorder="1" applyAlignment="1">
      <alignment horizontal="center"/>
    </xf>
    <xf numFmtId="0" fontId="2" fillId="2" borderId="7" xfId="0" applyFont="1" applyFill="1" applyBorder="1" applyAlignment="1">
      <alignment horizontal="center"/>
    </xf>
    <xf numFmtId="0" fontId="2" fillId="2" borderId="8" xfId="0" applyFont="1" applyFill="1" applyBorder="1" applyAlignment="1">
      <alignment horizontal="center"/>
    </xf>
    <xf numFmtId="0" fontId="2" fillId="2" borderId="22" xfId="0" applyFont="1" applyFill="1" applyBorder="1" applyAlignment="1">
      <alignment horizontal="center"/>
    </xf>
    <xf numFmtId="0" fontId="2" fillId="2" borderId="7" xfId="0" applyFont="1" applyFill="1" applyBorder="1"/>
    <xf numFmtId="0" fontId="2" fillId="2" borderId="9" xfId="0" applyFont="1" applyFill="1" applyBorder="1"/>
    <xf numFmtId="0" fontId="2" fillId="2" borderId="15" xfId="0" applyFont="1" applyFill="1" applyBorder="1"/>
    <xf numFmtId="0" fontId="2" fillId="2" borderId="16" xfId="0" applyFont="1" applyFill="1" applyBorder="1"/>
    <xf numFmtId="0" fontId="0" fillId="3" borderId="3" xfId="0" applyFill="1" applyBorder="1"/>
    <xf numFmtId="0" fontId="0" fillId="3" borderId="6" xfId="0" applyFill="1" applyBorder="1"/>
    <xf numFmtId="177" fontId="0" fillId="3" borderId="6" xfId="0" applyNumberFormat="1" applyFill="1" applyBorder="1"/>
    <xf numFmtId="0" fontId="0" fillId="3" borderId="9" xfId="0" applyFill="1" applyBorder="1"/>
    <xf numFmtId="0" fontId="2" fillId="3" borderId="8" xfId="0" applyFont="1" applyFill="1" applyBorder="1"/>
    <xf numFmtId="177" fontId="0" fillId="3" borderId="2" xfId="0" applyNumberFormat="1" applyFill="1" applyBorder="1"/>
    <xf numFmtId="177" fontId="0" fillId="3" borderId="5" xfId="0" applyNumberFormat="1" applyFill="1" applyBorder="1"/>
    <xf numFmtId="177" fontId="0" fillId="3" borderId="8" xfId="0" applyNumberFormat="1" applyFill="1" applyBorder="1"/>
    <xf numFmtId="0" fontId="2" fillId="0" borderId="8" xfId="0" quotePrefix="1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2" xfId="0" applyFont="1" applyBorder="1"/>
    <xf numFmtId="0" fontId="5" fillId="0" borderId="0" xfId="0" quotePrefix="1" applyFont="1"/>
    <xf numFmtId="0" fontId="2" fillId="0" borderId="3" xfId="0" quotePrefix="1" applyFont="1" applyBorder="1" applyAlignment="1">
      <alignment horizontal="center"/>
    </xf>
    <xf numFmtId="0" fontId="2" fillId="0" borderId="6" xfId="0" quotePrefix="1" applyFont="1" applyBorder="1" applyAlignment="1">
      <alignment horizontal="center"/>
    </xf>
    <xf numFmtId="0" fontId="2" fillId="0" borderId="9" xfId="0" quotePrefix="1" applyFont="1" applyBorder="1" applyAlignment="1">
      <alignment horizontal="center"/>
    </xf>
    <xf numFmtId="0" fontId="2" fillId="0" borderId="24" xfId="0" applyFont="1" applyBorder="1"/>
    <xf numFmtId="0" fontId="0" fillId="0" borderId="14" xfId="0" applyBorder="1"/>
    <xf numFmtId="0" fontId="0" fillId="0" borderId="12" xfId="0" applyFill="1" applyBorder="1"/>
    <xf numFmtId="0" fontId="0" fillId="0" borderId="13" xfId="0" applyFill="1" applyBorder="1"/>
    <xf numFmtId="0" fontId="0" fillId="0" borderId="14" xfId="0" applyFill="1" applyBorder="1"/>
    <xf numFmtId="0" fontId="0" fillId="0" borderId="4" xfId="0" applyFill="1" applyBorder="1"/>
    <xf numFmtId="0" fontId="0" fillId="0" borderId="5" xfId="0" applyFill="1" applyBorder="1"/>
    <xf numFmtId="0" fontId="0" fillId="0" borderId="6" xfId="0" applyFill="1" applyBorder="1"/>
    <xf numFmtId="0" fontId="0" fillId="4" borderId="5" xfId="0" applyFill="1" applyBorder="1"/>
    <xf numFmtId="0" fontId="0" fillId="4" borderId="8" xfId="0" applyFill="1" applyBorder="1"/>
    <xf numFmtId="0" fontId="0" fillId="0" borderId="7" xfId="0" applyFill="1" applyBorder="1"/>
    <xf numFmtId="0" fontId="0" fillId="0" borderId="8" xfId="0" applyFill="1" applyBorder="1"/>
    <xf numFmtId="0" fontId="0" fillId="0" borderId="9" xfId="0" applyFill="1" applyBorder="1"/>
    <xf numFmtId="0" fontId="6" fillId="0" borderId="0" xfId="0" applyFont="1" applyFill="1" applyBorder="1"/>
    <xf numFmtId="0" fontId="5" fillId="0" borderId="0" xfId="0" applyFont="1" applyFill="1" applyBorder="1"/>
    <xf numFmtId="0" fontId="2" fillId="0" borderId="1" xfId="0" applyFont="1" applyBorder="1"/>
    <xf numFmtId="0" fontId="2" fillId="0" borderId="7" xfId="0" applyFont="1" applyBorder="1"/>
    <xf numFmtId="0" fontId="2" fillId="0" borderId="8" xfId="0" applyFont="1" applyFill="1" applyBorder="1" applyAlignment="1">
      <alignment horizontal="center"/>
    </xf>
    <xf numFmtId="0" fontId="0" fillId="0" borderId="2" xfId="0" applyFill="1" applyBorder="1"/>
    <xf numFmtId="0" fontId="2" fillId="0" borderId="4" xfId="0" applyFont="1" applyBorder="1"/>
    <xf numFmtId="0" fontId="3" fillId="0" borderId="6" xfId="0" applyFont="1" applyBorder="1"/>
    <xf numFmtId="0" fontId="2" fillId="0" borderId="7" xfId="0" applyFont="1" applyFill="1" applyBorder="1"/>
    <xf numFmtId="0" fontId="3" fillId="0" borderId="9" xfId="0" applyFont="1" applyBorder="1"/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2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3" borderId="2" xfId="0" applyFill="1" applyBorder="1" applyAlignment="1">
      <alignment vertical="center"/>
    </xf>
    <xf numFmtId="0" fontId="0" fillId="0" borderId="3" xfId="0" applyBorder="1" applyAlignment="1">
      <alignment vertical="center"/>
    </xf>
    <xf numFmtId="0" fontId="0" fillId="3" borderId="5" xfId="0" applyFill="1" applyBorder="1" applyAlignment="1">
      <alignment vertical="center"/>
    </xf>
    <xf numFmtId="0" fontId="0" fillId="0" borderId="6" xfId="0" applyBorder="1" applyAlignment="1">
      <alignment vertical="center"/>
    </xf>
    <xf numFmtId="0" fontId="0" fillId="3" borderId="8" xfId="0" applyFill="1" applyBorder="1" applyAlignment="1">
      <alignment vertical="center"/>
    </xf>
    <xf numFmtId="0" fontId="0" fillId="0" borderId="9" xfId="0" applyBorder="1" applyAlignment="1">
      <alignment vertical="center"/>
    </xf>
    <xf numFmtId="0" fontId="2" fillId="2" borderId="27" xfId="0" applyFont="1" applyFill="1" applyBorder="1" applyAlignment="1">
      <alignment horizontal="center" vertical="center"/>
    </xf>
    <xf numFmtId="0" fontId="2" fillId="2" borderId="28" xfId="0" applyFont="1" applyFill="1" applyBorder="1" applyAlignment="1">
      <alignment horizontal="center" vertical="center"/>
    </xf>
    <xf numFmtId="0" fontId="2" fillId="2" borderId="29" xfId="0" applyFont="1" applyFill="1" applyBorder="1" applyAlignment="1">
      <alignment horizontal="center" vertical="center"/>
    </xf>
    <xf numFmtId="0" fontId="2" fillId="2" borderId="30" xfId="0" applyFont="1" applyFill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178" fontId="8" fillId="0" borderId="2" xfId="0" applyNumberFormat="1" applyFont="1" applyBorder="1" applyAlignment="1">
      <alignment vertical="center"/>
    </xf>
    <xf numFmtId="2" fontId="8" fillId="0" borderId="2" xfId="0" applyNumberFormat="1" applyFont="1" applyFill="1" applyBorder="1" applyAlignment="1">
      <alignment vertical="center"/>
    </xf>
    <xf numFmtId="1" fontId="8" fillId="0" borderId="2" xfId="0" applyNumberFormat="1" applyFont="1" applyBorder="1" applyAlignment="1">
      <alignment vertical="center"/>
    </xf>
    <xf numFmtId="0" fontId="8" fillId="0" borderId="3" xfId="0" applyFont="1" applyBorder="1"/>
    <xf numFmtId="0" fontId="8" fillId="0" borderId="4" xfId="0" applyFont="1" applyBorder="1" applyAlignment="1">
      <alignment vertical="center"/>
    </xf>
    <xf numFmtId="178" fontId="8" fillId="0" borderId="5" xfId="0" applyNumberFormat="1" applyFont="1" applyBorder="1" applyAlignment="1">
      <alignment vertical="center"/>
    </xf>
    <xf numFmtId="2" fontId="8" fillId="0" borderId="5" xfId="0" applyNumberFormat="1" applyFont="1" applyFill="1" applyBorder="1" applyAlignment="1">
      <alignment vertical="center"/>
    </xf>
    <xf numFmtId="1" fontId="8" fillId="0" borderId="5" xfId="0" applyNumberFormat="1" applyFont="1" applyBorder="1" applyAlignment="1">
      <alignment vertical="center"/>
    </xf>
    <xf numFmtId="0" fontId="8" fillId="0" borderId="6" xfId="0" applyFont="1" applyBorder="1"/>
    <xf numFmtId="0" fontId="8" fillId="3" borderId="4" xfId="0" applyFont="1" applyFill="1" applyBorder="1" applyAlignment="1">
      <alignment vertical="center"/>
    </xf>
    <xf numFmtId="178" fontId="8" fillId="3" borderId="5" xfId="0" applyNumberFormat="1" applyFont="1" applyFill="1" applyBorder="1" applyAlignment="1">
      <alignment vertical="center"/>
    </xf>
    <xf numFmtId="2" fontId="8" fillId="3" borderId="5" xfId="0" applyNumberFormat="1" applyFont="1" applyFill="1" applyBorder="1" applyAlignment="1">
      <alignment vertical="center"/>
    </xf>
    <xf numFmtId="1" fontId="8" fillId="3" borderId="5" xfId="0" applyNumberFormat="1" applyFont="1" applyFill="1" applyBorder="1" applyAlignment="1">
      <alignment vertical="center"/>
    </xf>
    <xf numFmtId="0" fontId="8" fillId="3" borderId="6" xfId="0" applyFont="1" applyFill="1" applyBorder="1"/>
    <xf numFmtId="0" fontId="2" fillId="3" borderId="4" xfId="0" applyFont="1" applyFill="1" applyBorder="1" applyAlignment="1">
      <alignment vertical="center"/>
    </xf>
    <xf numFmtId="178" fontId="2" fillId="3" borderId="5" xfId="0" applyNumberFormat="1" applyFont="1" applyFill="1" applyBorder="1" applyAlignment="1">
      <alignment vertical="center"/>
    </xf>
    <xf numFmtId="2" fontId="2" fillId="3" borderId="5" xfId="0" applyNumberFormat="1" applyFont="1" applyFill="1" applyBorder="1" applyAlignment="1">
      <alignment vertical="center"/>
    </xf>
    <xf numFmtId="1" fontId="2" fillId="3" borderId="5" xfId="0" applyNumberFormat="1" applyFont="1" applyFill="1" applyBorder="1" applyAlignment="1">
      <alignment vertical="center"/>
    </xf>
    <xf numFmtId="0" fontId="2" fillId="3" borderId="6" xfId="0" applyFont="1" applyFill="1" applyBorder="1"/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177" fontId="8" fillId="0" borderId="25" xfId="0" applyNumberFormat="1" applyFont="1" applyBorder="1" applyAlignment="1">
      <alignment horizontal="center" vertical="center"/>
    </xf>
    <xf numFmtId="178" fontId="8" fillId="0" borderId="1" xfId="0" applyNumberFormat="1" applyFont="1" applyBorder="1" applyAlignment="1">
      <alignment vertical="center"/>
    </xf>
    <xf numFmtId="178" fontId="8" fillId="0" borderId="3" xfId="0" applyNumberFormat="1" applyFont="1" applyBorder="1" applyAlignment="1">
      <alignment vertical="center"/>
    </xf>
    <xf numFmtId="178" fontId="8" fillId="0" borderId="31" xfId="0" applyNumberFormat="1" applyFont="1" applyBorder="1" applyAlignment="1">
      <alignment vertical="center"/>
    </xf>
    <xf numFmtId="2" fontId="0" fillId="0" borderId="3" xfId="0" applyNumberFormat="1" applyBorder="1"/>
    <xf numFmtId="178" fontId="0" fillId="0" borderId="0" xfId="0" applyNumberFormat="1"/>
    <xf numFmtId="2" fontId="0" fillId="0" borderId="0" xfId="0" applyNumberFormat="1"/>
    <xf numFmtId="177" fontId="8" fillId="0" borderId="34" xfId="0" applyNumberFormat="1" applyFont="1" applyBorder="1" applyAlignment="1">
      <alignment horizontal="center" vertical="center"/>
    </xf>
    <xf numFmtId="178" fontId="8" fillId="0" borderId="4" xfId="0" applyNumberFormat="1" applyFont="1" applyBorder="1" applyAlignment="1">
      <alignment vertical="center"/>
    </xf>
    <xf numFmtId="178" fontId="8" fillId="0" borderId="6" xfId="0" applyNumberFormat="1" applyFont="1" applyBorder="1" applyAlignment="1">
      <alignment vertical="center"/>
    </xf>
    <xf numFmtId="178" fontId="8" fillId="0" borderId="35" xfId="0" applyNumberFormat="1" applyFont="1" applyBorder="1" applyAlignment="1">
      <alignment vertical="center"/>
    </xf>
    <xf numFmtId="2" fontId="0" fillId="0" borderId="6" xfId="0" applyNumberFormat="1" applyBorder="1"/>
    <xf numFmtId="177" fontId="8" fillId="6" borderId="34" xfId="0" applyNumberFormat="1" applyFont="1" applyFill="1" applyBorder="1" applyAlignment="1">
      <alignment horizontal="center" vertical="center"/>
    </xf>
    <xf numFmtId="178" fontId="8" fillId="6" borderId="4" xfId="0" applyNumberFormat="1" applyFont="1" applyFill="1" applyBorder="1" applyAlignment="1">
      <alignment vertical="center"/>
    </xf>
    <xf numFmtId="1" fontId="8" fillId="6" borderId="5" xfId="0" applyNumberFormat="1" applyFont="1" applyFill="1" applyBorder="1" applyAlignment="1">
      <alignment vertical="center"/>
    </xf>
    <xf numFmtId="178" fontId="8" fillId="6" borderId="35" xfId="0" applyNumberFormat="1" applyFont="1" applyFill="1" applyBorder="1" applyAlignment="1">
      <alignment vertical="center"/>
    </xf>
    <xf numFmtId="0" fontId="0" fillId="6" borderId="5" xfId="0" applyFill="1" applyBorder="1" applyAlignment="1">
      <alignment horizontal="center"/>
    </xf>
    <xf numFmtId="178" fontId="8" fillId="6" borderId="5" xfId="0" applyNumberFormat="1" applyFont="1" applyFill="1" applyBorder="1" applyAlignment="1">
      <alignment vertical="center"/>
    </xf>
    <xf numFmtId="2" fontId="0" fillId="6" borderId="6" xfId="0" applyNumberFormat="1" applyFill="1" applyBorder="1"/>
    <xf numFmtId="177" fontId="8" fillId="6" borderId="32" xfId="0" applyNumberFormat="1" applyFont="1" applyFill="1" applyBorder="1" applyAlignment="1">
      <alignment horizontal="center" vertical="center"/>
    </xf>
    <xf numFmtId="178" fontId="8" fillId="6" borderId="7" xfId="0" applyNumberFormat="1" applyFont="1" applyFill="1" applyBorder="1" applyAlignment="1">
      <alignment vertical="center"/>
    </xf>
    <xf numFmtId="1" fontId="8" fillId="6" borderId="8" xfId="0" applyNumberFormat="1" applyFont="1" applyFill="1" applyBorder="1" applyAlignment="1">
      <alignment vertical="center"/>
    </xf>
    <xf numFmtId="1" fontId="8" fillId="6" borderId="9" xfId="0" applyNumberFormat="1" applyFont="1" applyFill="1" applyBorder="1" applyAlignment="1">
      <alignment vertical="center"/>
    </xf>
    <xf numFmtId="178" fontId="8" fillId="6" borderId="33" xfId="0" applyNumberFormat="1" applyFont="1" applyFill="1" applyBorder="1" applyAlignment="1">
      <alignment vertical="center"/>
    </xf>
    <xf numFmtId="0" fontId="0" fillId="6" borderId="8" xfId="0" applyFill="1" applyBorder="1" applyAlignment="1">
      <alignment horizontal="center"/>
    </xf>
    <xf numFmtId="2" fontId="0" fillId="6" borderId="9" xfId="0" applyNumberFormat="1" applyFill="1" applyBorder="1"/>
    <xf numFmtId="0" fontId="0" fillId="0" borderId="1" xfId="0" applyFill="1" applyBorder="1"/>
    <xf numFmtId="0" fontId="0" fillId="0" borderId="2" xfId="0" quotePrefix="1" applyBorder="1" applyAlignment="1">
      <alignment horizontal="center"/>
    </xf>
    <xf numFmtId="0" fontId="0" fillId="0" borderId="2" xfId="0" quotePrefix="1" applyBorder="1"/>
    <xf numFmtId="0" fontId="0" fillId="0" borderId="5" xfId="0" quotePrefix="1" applyBorder="1"/>
    <xf numFmtId="0" fontId="0" fillId="0" borderId="8" xfId="0" quotePrefix="1" applyBorder="1"/>
    <xf numFmtId="0" fontId="2" fillId="0" borderId="0" xfId="0" applyFont="1" applyFill="1" applyBorder="1" applyAlignment="1">
      <alignment horizontal="center"/>
    </xf>
    <xf numFmtId="0" fontId="0" fillId="0" borderId="0" xfId="0" applyFill="1" applyBorder="1"/>
    <xf numFmtId="2" fontId="2" fillId="0" borderId="8" xfId="0" applyNumberFormat="1" applyFont="1" applyBorder="1"/>
    <xf numFmtId="0" fontId="2" fillId="2" borderId="17" xfId="0" applyFont="1" applyFill="1" applyBorder="1" applyAlignment="1">
      <alignment horizontal="center" vertical="center"/>
    </xf>
    <xf numFmtId="0" fontId="2" fillId="2" borderId="18" xfId="0" applyFont="1" applyFill="1" applyBorder="1" applyAlignment="1">
      <alignment horizontal="center" vertical="center"/>
    </xf>
    <xf numFmtId="0" fontId="2" fillId="2" borderId="19" xfId="0" applyFont="1" applyFill="1" applyBorder="1" applyAlignment="1">
      <alignment horizontal="center" vertical="center"/>
    </xf>
    <xf numFmtId="41" fontId="0" fillId="0" borderId="8" xfId="1" applyFont="1" applyBorder="1" applyAlignment="1"/>
    <xf numFmtId="0" fontId="0" fillId="0" borderId="2" xfId="0" applyNumberFormat="1" applyBorder="1"/>
    <xf numFmtId="41" fontId="0" fillId="0" borderId="2" xfId="1" applyFont="1" applyBorder="1" applyAlignment="1"/>
    <xf numFmtId="41" fontId="0" fillId="0" borderId="5" xfId="1" applyFont="1" applyBorder="1" applyAlignment="1"/>
    <xf numFmtId="0" fontId="0" fillId="0" borderId="0" xfId="0" applyAlignment="1">
      <alignment horizontal="right"/>
    </xf>
    <xf numFmtId="0" fontId="2" fillId="0" borderId="0" xfId="0" applyFont="1" applyAlignment="1">
      <alignment horizontal="center"/>
    </xf>
    <xf numFmtId="0" fontId="2" fillId="0" borderId="0" xfId="0" quotePrefix="1" applyFont="1"/>
    <xf numFmtId="0" fontId="0" fillId="0" borderId="0" xfId="0" quotePrefix="1" applyAlignment="1">
      <alignment horizontal="center"/>
    </xf>
    <xf numFmtId="0" fontId="2" fillId="0" borderId="36" xfId="0" applyFont="1" applyBorder="1" applyAlignment="1">
      <alignment horizontal="center"/>
    </xf>
    <xf numFmtId="2" fontId="2" fillId="0" borderId="37" xfId="0" applyNumberFormat="1" applyFont="1" applyBorder="1"/>
    <xf numFmtId="0" fontId="2" fillId="0" borderId="17" xfId="0" applyFont="1" applyBorder="1" applyAlignment="1">
      <alignment horizontal="center"/>
    </xf>
    <xf numFmtId="0" fontId="2" fillId="0" borderId="18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2" fontId="0" fillId="0" borderId="2" xfId="0" applyNumberFormat="1" applyBorder="1"/>
    <xf numFmtId="2" fontId="0" fillId="0" borderId="9" xfId="0" applyNumberFormat="1" applyBorder="1"/>
    <xf numFmtId="0" fontId="2" fillId="0" borderId="0" xfId="0" applyFont="1" applyAlignment="1">
      <alignment horizontal="center"/>
    </xf>
    <xf numFmtId="0" fontId="0" fillId="0" borderId="0" xfId="0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1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2" borderId="21" xfId="0" applyFont="1" applyFill="1" applyBorder="1" applyAlignment="1">
      <alignment horizontal="center"/>
    </xf>
    <xf numFmtId="0" fontId="2" fillId="3" borderId="25" xfId="0" applyFont="1" applyFill="1" applyBorder="1" applyAlignment="1">
      <alignment horizontal="center"/>
    </xf>
    <xf numFmtId="0" fontId="2" fillId="3" borderId="26" xfId="0" applyFont="1" applyFill="1" applyBorder="1" applyAlignment="1">
      <alignment horizontal="center"/>
    </xf>
    <xf numFmtId="0" fontId="2" fillId="3" borderId="10" xfId="0" applyFont="1" applyFill="1" applyBorder="1" applyAlignment="1">
      <alignment horizontal="center"/>
    </xf>
    <xf numFmtId="0" fontId="2" fillId="3" borderId="2" xfId="0" applyFont="1" applyFill="1" applyBorder="1" applyAlignment="1">
      <alignment horizontal="center"/>
    </xf>
    <xf numFmtId="0" fontId="2" fillId="0" borderId="3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2" xfId="0" applyBorder="1" applyAlignment="1">
      <alignment horizontal="center"/>
    </xf>
    <xf numFmtId="0" fontId="2" fillId="0" borderId="18" xfId="0" applyFont="1" applyBorder="1" applyAlignment="1">
      <alignment horizontal="center" vertical="center" wrapText="1"/>
    </xf>
    <xf numFmtId="0" fontId="2" fillId="0" borderId="18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2" borderId="25" xfId="0" applyFont="1" applyFill="1" applyBorder="1" applyAlignment="1">
      <alignment horizontal="center" vertical="center" wrapText="1"/>
    </xf>
    <xf numFmtId="0" fontId="2" fillId="2" borderId="32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31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wrapText="1"/>
    </xf>
    <xf numFmtId="0" fontId="2" fillId="2" borderId="9" xfId="0" applyFont="1" applyFill="1" applyBorder="1" applyAlignment="1">
      <alignment horizontal="center"/>
    </xf>
    <xf numFmtId="0" fontId="2" fillId="0" borderId="1" xfId="0" applyFont="1" applyBorder="1" applyAlignment="1">
      <alignment horizontal="center" vertical="center" wrapText="1"/>
    </xf>
  </cellXfs>
  <cellStyles count="2">
    <cellStyle name="쉼표 [0]" xfId="1" builtinId="6"/>
    <cellStyle name="표준" xfId="0" builtinId="0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.jpg"/><Relationship Id="rId18" Type="http://schemas.openxmlformats.org/officeDocument/2006/relationships/image" Target="../media/image21.jpg"/><Relationship Id="rId26" Type="http://schemas.openxmlformats.org/officeDocument/2006/relationships/image" Target="../media/image29.jpg"/><Relationship Id="rId39" Type="http://schemas.openxmlformats.org/officeDocument/2006/relationships/image" Target="../media/image42.jpg"/><Relationship Id="rId21" Type="http://schemas.openxmlformats.org/officeDocument/2006/relationships/image" Target="../media/image24.jpg"/><Relationship Id="rId34" Type="http://schemas.openxmlformats.org/officeDocument/2006/relationships/image" Target="../media/image37.jpg"/><Relationship Id="rId7" Type="http://schemas.openxmlformats.org/officeDocument/2006/relationships/image" Target="../media/image10.jpg"/><Relationship Id="rId12" Type="http://schemas.openxmlformats.org/officeDocument/2006/relationships/image" Target="../media/image15.jpg"/><Relationship Id="rId17" Type="http://schemas.openxmlformats.org/officeDocument/2006/relationships/image" Target="../media/image20.jpg"/><Relationship Id="rId25" Type="http://schemas.openxmlformats.org/officeDocument/2006/relationships/image" Target="../media/image28.jpg"/><Relationship Id="rId33" Type="http://schemas.openxmlformats.org/officeDocument/2006/relationships/image" Target="../media/image36.jpg"/><Relationship Id="rId38" Type="http://schemas.openxmlformats.org/officeDocument/2006/relationships/image" Target="../media/image41.jpg"/><Relationship Id="rId2" Type="http://schemas.openxmlformats.org/officeDocument/2006/relationships/image" Target="../media/image5.png"/><Relationship Id="rId16" Type="http://schemas.openxmlformats.org/officeDocument/2006/relationships/image" Target="../media/image19.jpg"/><Relationship Id="rId20" Type="http://schemas.openxmlformats.org/officeDocument/2006/relationships/image" Target="../media/image23.png"/><Relationship Id="rId29" Type="http://schemas.openxmlformats.org/officeDocument/2006/relationships/image" Target="../media/image32.jpg"/><Relationship Id="rId1" Type="http://schemas.openxmlformats.org/officeDocument/2006/relationships/image" Target="../media/image4.png"/><Relationship Id="rId6" Type="http://schemas.openxmlformats.org/officeDocument/2006/relationships/image" Target="../media/image9.jpg"/><Relationship Id="rId11" Type="http://schemas.openxmlformats.org/officeDocument/2006/relationships/image" Target="../media/image14.jpg"/><Relationship Id="rId24" Type="http://schemas.openxmlformats.org/officeDocument/2006/relationships/image" Target="../media/image27.jpg"/><Relationship Id="rId32" Type="http://schemas.openxmlformats.org/officeDocument/2006/relationships/image" Target="../media/image35.jpg"/><Relationship Id="rId37" Type="http://schemas.openxmlformats.org/officeDocument/2006/relationships/image" Target="../media/image40.jpg"/><Relationship Id="rId5" Type="http://schemas.openxmlformats.org/officeDocument/2006/relationships/image" Target="../media/image8.jpg"/><Relationship Id="rId15" Type="http://schemas.openxmlformats.org/officeDocument/2006/relationships/image" Target="../media/image18.jpg"/><Relationship Id="rId23" Type="http://schemas.openxmlformats.org/officeDocument/2006/relationships/image" Target="../media/image26.jpg"/><Relationship Id="rId28" Type="http://schemas.openxmlformats.org/officeDocument/2006/relationships/image" Target="../media/image31.jpg"/><Relationship Id="rId36" Type="http://schemas.openxmlformats.org/officeDocument/2006/relationships/image" Target="../media/image39.jpg"/><Relationship Id="rId10" Type="http://schemas.openxmlformats.org/officeDocument/2006/relationships/image" Target="../media/image13.jpg"/><Relationship Id="rId19" Type="http://schemas.openxmlformats.org/officeDocument/2006/relationships/image" Target="../media/image22.jpg"/><Relationship Id="rId31" Type="http://schemas.openxmlformats.org/officeDocument/2006/relationships/image" Target="../media/image34.jpg"/><Relationship Id="rId4" Type="http://schemas.openxmlformats.org/officeDocument/2006/relationships/image" Target="../media/image7.jpg"/><Relationship Id="rId9" Type="http://schemas.openxmlformats.org/officeDocument/2006/relationships/image" Target="../media/image12.jpg"/><Relationship Id="rId14" Type="http://schemas.openxmlformats.org/officeDocument/2006/relationships/image" Target="../media/image17.jpg"/><Relationship Id="rId22" Type="http://schemas.openxmlformats.org/officeDocument/2006/relationships/image" Target="../media/image25.jpg"/><Relationship Id="rId27" Type="http://schemas.openxmlformats.org/officeDocument/2006/relationships/image" Target="../media/image30.jpg"/><Relationship Id="rId30" Type="http://schemas.openxmlformats.org/officeDocument/2006/relationships/image" Target="../media/image33.jpg"/><Relationship Id="rId35" Type="http://schemas.openxmlformats.org/officeDocument/2006/relationships/image" Target="../media/image38.jpg"/><Relationship Id="rId8" Type="http://schemas.openxmlformats.org/officeDocument/2006/relationships/image" Target="../media/image11.jpg"/><Relationship Id="rId3" Type="http://schemas.openxmlformats.org/officeDocument/2006/relationships/image" Target="../media/image6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jpg"/><Relationship Id="rId2" Type="http://schemas.openxmlformats.org/officeDocument/2006/relationships/image" Target="../media/image44.jpg"/><Relationship Id="rId1" Type="http://schemas.openxmlformats.org/officeDocument/2006/relationships/image" Target="../media/image43.jpg"/><Relationship Id="rId4" Type="http://schemas.openxmlformats.org/officeDocument/2006/relationships/image" Target="../media/image46.jp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png"/><Relationship Id="rId3" Type="http://schemas.openxmlformats.org/officeDocument/2006/relationships/image" Target="../media/image49.png"/><Relationship Id="rId7" Type="http://schemas.openxmlformats.org/officeDocument/2006/relationships/image" Target="../media/image53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11" Type="http://schemas.openxmlformats.org/officeDocument/2006/relationships/image" Target="../media/image57.png"/><Relationship Id="rId5" Type="http://schemas.openxmlformats.org/officeDocument/2006/relationships/image" Target="../media/image51.png"/><Relationship Id="rId10" Type="http://schemas.openxmlformats.org/officeDocument/2006/relationships/image" Target="../media/image56.png"/><Relationship Id="rId4" Type="http://schemas.openxmlformats.org/officeDocument/2006/relationships/image" Target="../media/image50.png"/><Relationship Id="rId9" Type="http://schemas.openxmlformats.org/officeDocument/2006/relationships/image" Target="../media/image5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4" Type="http://schemas.openxmlformats.org/officeDocument/2006/relationships/image" Target="../media/image6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28575</xdr:colOff>
      <xdr:row>4</xdr:row>
      <xdr:rowOff>48839</xdr:rowOff>
    </xdr:from>
    <xdr:to>
      <xdr:col>22</xdr:col>
      <xdr:colOff>241204</xdr:colOff>
      <xdr:row>16</xdr:row>
      <xdr:rowOff>95250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3675" y="887039"/>
          <a:ext cx="5794279" cy="25800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76200</xdr:colOff>
      <xdr:row>16</xdr:row>
      <xdr:rowOff>95250</xdr:rowOff>
    </xdr:from>
    <xdr:to>
      <xdr:col>20</xdr:col>
      <xdr:colOff>295275</xdr:colOff>
      <xdr:row>42</xdr:row>
      <xdr:rowOff>161925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3476625"/>
          <a:ext cx="12277725" cy="551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428625</xdr:colOff>
      <xdr:row>44</xdr:row>
      <xdr:rowOff>152400</xdr:rowOff>
    </xdr:from>
    <xdr:to>
      <xdr:col>18</xdr:col>
      <xdr:colOff>232808</xdr:colOff>
      <xdr:row>54</xdr:row>
      <xdr:rowOff>95250</xdr:rowOff>
    </xdr:to>
    <xdr:grpSp>
      <xdr:nvGrpSpPr>
        <xdr:cNvPr id="3" name="그룹 2"/>
        <xdr:cNvGrpSpPr/>
      </xdr:nvGrpSpPr>
      <xdr:grpSpPr>
        <a:xfrm>
          <a:off x="8772525" y="9401175"/>
          <a:ext cx="3233183" cy="2066925"/>
          <a:chOff x="6476999" y="266700"/>
          <a:chExt cx="3233183" cy="2343150"/>
        </a:xfrm>
      </xdr:grpSpPr>
      <xdr:pic>
        <xdr:nvPicPr>
          <xdr:cNvPr id="4" name="그림 3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476999" y="266700"/>
            <a:ext cx="3233183" cy="23431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" name="모서리가 둥근 직사각형 4"/>
          <xdr:cNvSpPr/>
        </xdr:nvSpPr>
        <xdr:spPr>
          <a:xfrm>
            <a:off x="8181975" y="752475"/>
            <a:ext cx="714375" cy="1781175"/>
          </a:xfrm>
          <a:prstGeom prst="round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57150</xdr:colOff>
      <xdr:row>8</xdr:row>
      <xdr:rowOff>85725</xdr:rowOff>
    </xdr:from>
    <xdr:to>
      <xdr:col>8</xdr:col>
      <xdr:colOff>666750</xdr:colOff>
      <xdr:row>21</xdr:row>
      <xdr:rowOff>116315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000250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104775</xdr:colOff>
      <xdr:row>8</xdr:row>
      <xdr:rowOff>85725</xdr:rowOff>
    </xdr:from>
    <xdr:to>
      <xdr:col>15</xdr:col>
      <xdr:colOff>28575</xdr:colOff>
      <xdr:row>21</xdr:row>
      <xdr:rowOff>116315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6850" y="2000250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85</xdr:row>
      <xdr:rowOff>85726</xdr:rowOff>
    </xdr:from>
    <xdr:to>
      <xdr:col>12</xdr:col>
      <xdr:colOff>133350</xdr:colOff>
      <xdr:row>105</xdr:row>
      <xdr:rowOff>173582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6400801"/>
          <a:ext cx="6257925" cy="4278856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130</xdr:row>
      <xdr:rowOff>47625</xdr:rowOff>
    </xdr:from>
    <xdr:to>
      <xdr:col>11</xdr:col>
      <xdr:colOff>0</xdr:colOff>
      <xdr:row>148</xdr:row>
      <xdr:rowOff>1000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375" y="15792450"/>
          <a:ext cx="5448300" cy="3725275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130</xdr:row>
      <xdr:rowOff>28575</xdr:rowOff>
    </xdr:from>
    <xdr:to>
      <xdr:col>19</xdr:col>
      <xdr:colOff>0</xdr:colOff>
      <xdr:row>148</xdr:row>
      <xdr:rowOff>1488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0" y="15773400"/>
          <a:ext cx="5476875" cy="3744813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</xdr:colOff>
      <xdr:row>130</xdr:row>
      <xdr:rowOff>28576</xdr:rowOff>
    </xdr:from>
    <xdr:to>
      <xdr:col>26</xdr:col>
      <xdr:colOff>647700</xdr:colOff>
      <xdr:row>147</xdr:row>
      <xdr:rowOff>184988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9600" y="15773401"/>
          <a:ext cx="5438775" cy="3718762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110</xdr:row>
      <xdr:rowOff>66676</xdr:rowOff>
    </xdr:from>
    <xdr:to>
      <xdr:col>10</xdr:col>
      <xdr:colOff>666750</xdr:colOff>
      <xdr:row>128</xdr:row>
      <xdr:rowOff>26564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" y="11201401"/>
          <a:ext cx="5457825" cy="3731788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110</xdr:row>
      <xdr:rowOff>95251</xdr:rowOff>
    </xdr:from>
    <xdr:to>
      <xdr:col>18</xdr:col>
      <xdr:colOff>628650</xdr:colOff>
      <xdr:row>128</xdr:row>
      <xdr:rowOff>3037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1300" y="11649076"/>
          <a:ext cx="5381625" cy="3679686"/>
        </a:xfrm>
        <a:prstGeom prst="rect">
          <a:avLst/>
        </a:prstGeom>
      </xdr:spPr>
    </xdr:pic>
    <xdr:clientData/>
  </xdr:twoCellAnchor>
  <xdr:twoCellAnchor editAs="oneCell">
    <xdr:from>
      <xdr:col>3</xdr:col>
      <xdr:colOff>38101</xdr:colOff>
      <xdr:row>152</xdr:row>
      <xdr:rowOff>47626</xdr:rowOff>
    </xdr:from>
    <xdr:to>
      <xdr:col>10</xdr:col>
      <xdr:colOff>619125</xdr:colOff>
      <xdr:row>169</xdr:row>
      <xdr:rowOff>164961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376" y="20193001"/>
          <a:ext cx="5381624" cy="3679685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152</xdr:row>
      <xdr:rowOff>28575</xdr:rowOff>
    </xdr:from>
    <xdr:to>
      <xdr:col>18</xdr:col>
      <xdr:colOff>609600</xdr:colOff>
      <xdr:row>169</xdr:row>
      <xdr:rowOff>132886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1300" y="20173950"/>
          <a:ext cx="5362575" cy="3666661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171</xdr:row>
      <xdr:rowOff>76200</xdr:rowOff>
    </xdr:from>
    <xdr:to>
      <xdr:col>10</xdr:col>
      <xdr:colOff>638141</xdr:colOff>
      <xdr:row>188</xdr:row>
      <xdr:rowOff>200025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24203025"/>
          <a:ext cx="5391116" cy="3686175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171</xdr:row>
      <xdr:rowOff>47626</xdr:rowOff>
    </xdr:from>
    <xdr:to>
      <xdr:col>18</xdr:col>
      <xdr:colOff>657225</xdr:colOff>
      <xdr:row>188</xdr:row>
      <xdr:rowOff>184500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1300" y="24174451"/>
          <a:ext cx="5410200" cy="36992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171</xdr:row>
      <xdr:rowOff>38100</xdr:rowOff>
    </xdr:from>
    <xdr:to>
      <xdr:col>27</xdr:col>
      <xdr:colOff>9525</xdr:colOff>
      <xdr:row>189</xdr:row>
      <xdr:rowOff>11013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49125" y="24164925"/>
          <a:ext cx="5476875" cy="3744813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85725</xdr:colOff>
      <xdr:row>8</xdr:row>
      <xdr:rowOff>85725</xdr:rowOff>
    </xdr:from>
    <xdr:to>
      <xdr:col>27</xdr:col>
      <xdr:colOff>17807</xdr:colOff>
      <xdr:row>21</xdr:row>
      <xdr:rowOff>84013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7400" y="2000250"/>
          <a:ext cx="4046882" cy="2722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</xdr:colOff>
      <xdr:row>23</xdr:row>
      <xdr:rowOff>76200</xdr:rowOff>
    </xdr:from>
    <xdr:to>
      <xdr:col>9</xdr:col>
      <xdr:colOff>27333</xdr:colOff>
      <xdr:row>36</xdr:row>
      <xdr:rowOff>107190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425" y="5133975"/>
          <a:ext cx="4084983" cy="2755140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</xdr:colOff>
      <xdr:row>23</xdr:row>
      <xdr:rowOff>57150</xdr:rowOff>
    </xdr:from>
    <xdr:to>
      <xdr:col>15</xdr:col>
      <xdr:colOff>38514</xdr:colOff>
      <xdr:row>36</xdr:row>
      <xdr:rowOff>88142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5114925"/>
          <a:ext cx="4086639" cy="2755142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38</xdr:row>
      <xdr:rowOff>57150</xdr:rowOff>
    </xdr:from>
    <xdr:to>
      <xdr:col>10</xdr:col>
      <xdr:colOff>590550</xdr:colOff>
      <xdr:row>55</xdr:row>
      <xdr:rowOff>128897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3475" y="8258175"/>
          <a:ext cx="5314950" cy="3634097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57</xdr:row>
      <xdr:rowOff>57150</xdr:rowOff>
    </xdr:from>
    <xdr:to>
      <xdr:col>10</xdr:col>
      <xdr:colOff>657190</xdr:colOff>
      <xdr:row>74</xdr:row>
      <xdr:rowOff>180975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950" y="12239625"/>
          <a:ext cx="5391115" cy="3686175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57</xdr:row>
      <xdr:rowOff>57150</xdr:rowOff>
    </xdr:from>
    <xdr:to>
      <xdr:col>18</xdr:col>
      <xdr:colOff>619125</xdr:colOff>
      <xdr:row>74</xdr:row>
      <xdr:rowOff>161461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0825" y="12239625"/>
          <a:ext cx="5362575" cy="3666661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38</xdr:row>
      <xdr:rowOff>38100</xdr:rowOff>
    </xdr:from>
    <xdr:to>
      <xdr:col>18</xdr:col>
      <xdr:colOff>600075</xdr:colOff>
      <xdr:row>55</xdr:row>
      <xdr:rowOff>148923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0" y="8239125"/>
          <a:ext cx="5372100" cy="3673173"/>
        </a:xfrm>
        <a:prstGeom prst="rect">
          <a:avLst/>
        </a:prstGeom>
      </xdr:spPr>
    </xdr:pic>
    <xdr:clientData/>
  </xdr:twoCellAnchor>
  <xdr:twoCellAnchor editAs="oneCell">
    <xdr:from>
      <xdr:col>15</xdr:col>
      <xdr:colOff>56512</xdr:colOff>
      <xdr:row>8</xdr:row>
      <xdr:rowOff>85725</xdr:rowOff>
    </xdr:from>
    <xdr:to>
      <xdr:col>21</xdr:col>
      <xdr:colOff>86140</xdr:colOff>
      <xdr:row>21</xdr:row>
      <xdr:rowOff>152400</xdr:rowOff>
    </xdr:to>
    <xdr:pic>
      <xdr:nvPicPr>
        <xdr:cNvPr id="18" name="그림 17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3387" y="2000250"/>
          <a:ext cx="4144428" cy="279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194</xdr:row>
      <xdr:rowOff>95251</xdr:rowOff>
    </xdr:from>
    <xdr:to>
      <xdr:col>10</xdr:col>
      <xdr:colOff>443111</xdr:colOff>
      <xdr:row>211</xdr:row>
      <xdr:rowOff>85725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40776526"/>
          <a:ext cx="5196086" cy="3552824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194</xdr:row>
      <xdr:rowOff>38101</xdr:rowOff>
    </xdr:from>
    <xdr:to>
      <xdr:col>18</xdr:col>
      <xdr:colOff>628650</xdr:colOff>
      <xdr:row>211</xdr:row>
      <xdr:rowOff>174975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2725" y="40719376"/>
          <a:ext cx="5410200" cy="3699224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213</xdr:row>
      <xdr:rowOff>57151</xdr:rowOff>
    </xdr:from>
    <xdr:to>
      <xdr:col>10</xdr:col>
      <xdr:colOff>666750</xdr:colOff>
      <xdr:row>231</xdr:row>
      <xdr:rowOff>4013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5850" y="44719876"/>
          <a:ext cx="5438775" cy="3718762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213</xdr:row>
      <xdr:rowOff>19051</xdr:rowOff>
    </xdr:from>
    <xdr:to>
      <xdr:col>19</xdr:col>
      <xdr:colOff>28575</xdr:colOff>
      <xdr:row>230</xdr:row>
      <xdr:rowOff>149412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7975" y="44681776"/>
          <a:ext cx="5400675" cy="3692711"/>
        </a:xfrm>
        <a:prstGeom prst="rect">
          <a:avLst/>
        </a:prstGeom>
      </xdr:spPr>
    </xdr:pic>
    <xdr:clientData/>
  </xdr:twoCellAnchor>
  <xdr:twoCellAnchor editAs="oneCell">
    <xdr:from>
      <xdr:col>19</xdr:col>
      <xdr:colOff>140475</xdr:colOff>
      <xdr:row>213</xdr:row>
      <xdr:rowOff>54750</xdr:rowOff>
    </xdr:from>
    <xdr:to>
      <xdr:col>26</xdr:col>
      <xdr:colOff>676275</xdr:colOff>
      <xdr:row>230</xdr:row>
      <xdr:rowOff>141163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70550" y="44717475"/>
          <a:ext cx="5336400" cy="3648763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234</xdr:row>
      <xdr:rowOff>47626</xdr:rowOff>
    </xdr:from>
    <xdr:to>
      <xdr:col>18</xdr:col>
      <xdr:colOff>638175</xdr:colOff>
      <xdr:row>251</xdr:row>
      <xdr:rowOff>197526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0" y="49320451"/>
          <a:ext cx="5429250" cy="3712250"/>
        </a:xfrm>
        <a:prstGeom prst="rect">
          <a:avLst/>
        </a:prstGeom>
      </xdr:spPr>
    </xdr:pic>
    <xdr:clientData/>
  </xdr:twoCellAnchor>
  <xdr:twoCellAnchor editAs="oneCell">
    <xdr:from>
      <xdr:col>3</xdr:col>
      <xdr:colOff>64275</xdr:colOff>
      <xdr:row>234</xdr:row>
      <xdr:rowOff>35701</xdr:rowOff>
    </xdr:from>
    <xdr:to>
      <xdr:col>10</xdr:col>
      <xdr:colOff>628650</xdr:colOff>
      <xdr:row>251</xdr:row>
      <xdr:rowOff>141653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550" y="49308526"/>
          <a:ext cx="5364975" cy="3668302"/>
        </a:xfrm>
        <a:prstGeom prst="rect">
          <a:avLst/>
        </a:prstGeom>
      </xdr:spPr>
    </xdr:pic>
    <xdr:clientData/>
  </xdr:twoCellAnchor>
  <xdr:twoCellAnchor editAs="oneCell">
    <xdr:from>
      <xdr:col>3</xdr:col>
      <xdr:colOff>85724</xdr:colOff>
      <xdr:row>253</xdr:row>
      <xdr:rowOff>47625</xdr:rowOff>
    </xdr:from>
    <xdr:to>
      <xdr:col>10</xdr:col>
      <xdr:colOff>654900</xdr:colOff>
      <xdr:row>270</xdr:row>
      <xdr:rowOff>156859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9" y="53301900"/>
          <a:ext cx="5369776" cy="3671584"/>
        </a:xfrm>
        <a:prstGeom prst="rect">
          <a:avLst/>
        </a:prstGeom>
      </xdr:spPr>
    </xdr:pic>
    <xdr:clientData/>
  </xdr:twoCellAnchor>
  <xdr:twoCellAnchor editAs="oneCell">
    <xdr:from>
      <xdr:col>11</xdr:col>
      <xdr:colOff>101253</xdr:colOff>
      <xdr:row>253</xdr:row>
      <xdr:rowOff>63154</xdr:rowOff>
    </xdr:from>
    <xdr:to>
      <xdr:col>18</xdr:col>
      <xdr:colOff>668189</xdr:colOff>
      <xdr:row>270</xdr:row>
      <xdr:rowOff>175750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871" y="54165154"/>
          <a:ext cx="5351847" cy="3732096"/>
        </a:xfrm>
        <a:prstGeom prst="rect">
          <a:avLst/>
        </a:prstGeom>
      </xdr:spPr>
    </xdr:pic>
    <xdr:clientData/>
  </xdr:twoCellAnchor>
  <xdr:twoCellAnchor editAs="oneCell">
    <xdr:from>
      <xdr:col>19</xdr:col>
      <xdr:colOff>49547</xdr:colOff>
      <xdr:row>253</xdr:row>
      <xdr:rowOff>70840</xdr:rowOff>
    </xdr:from>
    <xdr:to>
      <xdr:col>26</xdr:col>
      <xdr:colOff>616482</xdr:colOff>
      <xdr:row>270</xdr:row>
      <xdr:rowOff>183436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28635" y="54172840"/>
          <a:ext cx="5351847" cy="3732096"/>
        </a:xfrm>
        <a:prstGeom prst="rect">
          <a:avLst/>
        </a:prstGeom>
      </xdr:spPr>
    </xdr:pic>
    <xdr:clientData/>
  </xdr:twoCellAnchor>
  <xdr:twoCellAnchor editAs="oneCell">
    <xdr:from>
      <xdr:col>27</xdr:col>
      <xdr:colOff>42665</xdr:colOff>
      <xdr:row>253</xdr:row>
      <xdr:rowOff>62277</xdr:rowOff>
    </xdr:from>
    <xdr:to>
      <xdr:col>34</xdr:col>
      <xdr:colOff>609600</xdr:colOff>
      <xdr:row>270</xdr:row>
      <xdr:rowOff>174873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90224" y="54164277"/>
          <a:ext cx="5351847" cy="3732096"/>
        </a:xfrm>
        <a:prstGeom prst="rect">
          <a:avLst/>
        </a:prstGeom>
      </xdr:spPr>
    </xdr:pic>
    <xdr:clientData/>
  </xdr:twoCellAnchor>
  <xdr:twoCellAnchor editAs="oneCell">
    <xdr:from>
      <xdr:col>3</xdr:col>
      <xdr:colOff>89647</xdr:colOff>
      <xdr:row>272</xdr:row>
      <xdr:rowOff>112060</xdr:rowOff>
    </xdr:from>
    <xdr:to>
      <xdr:col>10</xdr:col>
      <xdr:colOff>670588</xdr:colOff>
      <xdr:row>289</xdr:row>
      <xdr:rowOff>161462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1794" y="58259384"/>
          <a:ext cx="5365853" cy="3668902"/>
        </a:xfrm>
        <a:prstGeom prst="rect">
          <a:avLst/>
        </a:prstGeom>
      </xdr:spPr>
    </xdr:pic>
    <xdr:clientData/>
  </xdr:twoCellAnchor>
  <xdr:twoCellAnchor editAs="oneCell">
    <xdr:from>
      <xdr:col>11</xdr:col>
      <xdr:colOff>60353</xdr:colOff>
      <xdr:row>272</xdr:row>
      <xdr:rowOff>116384</xdr:rowOff>
    </xdr:from>
    <xdr:to>
      <xdr:col>18</xdr:col>
      <xdr:colOff>641295</xdr:colOff>
      <xdr:row>289</xdr:row>
      <xdr:rowOff>165786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0971" y="58263708"/>
          <a:ext cx="5365853" cy="3668902"/>
        </a:xfrm>
        <a:prstGeom prst="rect">
          <a:avLst/>
        </a:prstGeom>
      </xdr:spPr>
    </xdr:pic>
    <xdr:clientData/>
  </xdr:twoCellAnchor>
  <xdr:twoCellAnchor editAs="oneCell">
    <xdr:from>
      <xdr:col>19</xdr:col>
      <xdr:colOff>53471</xdr:colOff>
      <xdr:row>272</xdr:row>
      <xdr:rowOff>75883</xdr:rowOff>
    </xdr:from>
    <xdr:to>
      <xdr:col>26</xdr:col>
      <xdr:colOff>634412</xdr:colOff>
      <xdr:row>289</xdr:row>
      <xdr:rowOff>125285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2559" y="58223207"/>
          <a:ext cx="5365853" cy="3668902"/>
        </a:xfrm>
        <a:prstGeom prst="rect">
          <a:avLst/>
        </a:prstGeom>
      </xdr:spPr>
    </xdr:pic>
    <xdr:clientData/>
  </xdr:twoCellAnchor>
  <xdr:twoCellAnchor editAs="oneCell">
    <xdr:from>
      <xdr:col>27</xdr:col>
      <xdr:colOff>69001</xdr:colOff>
      <xdr:row>272</xdr:row>
      <xdr:rowOff>69001</xdr:rowOff>
    </xdr:from>
    <xdr:to>
      <xdr:col>34</xdr:col>
      <xdr:colOff>649942</xdr:colOff>
      <xdr:row>289</xdr:row>
      <xdr:rowOff>118403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6560" y="58216325"/>
          <a:ext cx="5365853" cy="3668902"/>
        </a:xfrm>
        <a:prstGeom prst="rect">
          <a:avLst/>
        </a:prstGeom>
      </xdr:spPr>
    </xdr:pic>
    <xdr:clientData/>
  </xdr:twoCellAnchor>
  <xdr:twoCellAnchor editAs="oneCell">
    <xdr:from>
      <xdr:col>11</xdr:col>
      <xdr:colOff>100852</xdr:colOff>
      <xdr:row>293</xdr:row>
      <xdr:rowOff>112059</xdr:rowOff>
    </xdr:from>
    <xdr:to>
      <xdr:col>18</xdr:col>
      <xdr:colOff>569734</xdr:colOff>
      <xdr:row>310</xdr:row>
      <xdr:rowOff>84841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470" y="62730530"/>
          <a:ext cx="5253793" cy="3592282"/>
        </a:xfrm>
        <a:prstGeom prst="rect">
          <a:avLst/>
        </a:prstGeom>
      </xdr:spPr>
    </xdr:pic>
    <xdr:clientData/>
  </xdr:twoCellAnchor>
  <xdr:twoCellAnchor editAs="oneCell">
    <xdr:from>
      <xdr:col>3</xdr:col>
      <xdr:colOff>150000</xdr:colOff>
      <xdr:row>312</xdr:row>
      <xdr:rowOff>105177</xdr:rowOff>
    </xdr:from>
    <xdr:to>
      <xdr:col>10</xdr:col>
      <xdr:colOff>618881</xdr:colOff>
      <xdr:row>329</xdr:row>
      <xdr:rowOff>77959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147" y="66768971"/>
          <a:ext cx="5253793" cy="3592282"/>
        </a:xfrm>
        <a:prstGeom prst="rect">
          <a:avLst/>
        </a:prstGeom>
      </xdr:spPr>
    </xdr:pic>
    <xdr:clientData/>
  </xdr:twoCellAnchor>
  <xdr:twoCellAnchor editAs="oneCell">
    <xdr:from>
      <xdr:col>19</xdr:col>
      <xdr:colOff>53471</xdr:colOff>
      <xdr:row>312</xdr:row>
      <xdr:rowOff>98296</xdr:rowOff>
    </xdr:from>
    <xdr:to>
      <xdr:col>26</xdr:col>
      <xdr:colOff>522352</xdr:colOff>
      <xdr:row>329</xdr:row>
      <xdr:rowOff>71078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2559" y="66762090"/>
          <a:ext cx="5253793" cy="3592282"/>
        </a:xfrm>
        <a:prstGeom prst="rect">
          <a:avLst/>
        </a:prstGeom>
      </xdr:spPr>
    </xdr:pic>
    <xdr:clientData/>
  </xdr:twoCellAnchor>
  <xdr:twoCellAnchor editAs="oneCell">
    <xdr:from>
      <xdr:col>11</xdr:col>
      <xdr:colOff>102618</xdr:colOff>
      <xdr:row>312</xdr:row>
      <xdr:rowOff>113826</xdr:rowOff>
    </xdr:from>
    <xdr:to>
      <xdr:col>18</xdr:col>
      <xdr:colOff>571500</xdr:colOff>
      <xdr:row>329</xdr:row>
      <xdr:rowOff>86608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3236" y="66777620"/>
          <a:ext cx="5253793" cy="359228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85725</xdr:colOff>
      <xdr:row>49</xdr:row>
      <xdr:rowOff>76201</xdr:rowOff>
    </xdr:from>
    <xdr:to>
      <xdr:col>6</xdr:col>
      <xdr:colOff>1400175</xdr:colOff>
      <xdr:row>75</xdr:row>
      <xdr:rowOff>79047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10344151"/>
          <a:ext cx="7972425" cy="5451146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49</xdr:row>
      <xdr:rowOff>76201</xdr:rowOff>
    </xdr:from>
    <xdr:to>
      <xdr:col>18</xdr:col>
      <xdr:colOff>590550</xdr:colOff>
      <xdr:row>75</xdr:row>
      <xdr:rowOff>137661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05875" y="10344151"/>
          <a:ext cx="8058150" cy="550976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78</xdr:row>
      <xdr:rowOff>65294</xdr:rowOff>
    </xdr:from>
    <xdr:to>
      <xdr:col>6</xdr:col>
      <xdr:colOff>1419225</xdr:colOff>
      <xdr:row>104</xdr:row>
      <xdr:rowOff>113729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6410194"/>
          <a:ext cx="8039100" cy="5496735"/>
        </a:xfrm>
        <a:prstGeom prst="rect">
          <a:avLst/>
        </a:prstGeom>
      </xdr:spPr>
    </xdr:pic>
    <xdr:clientData/>
  </xdr:twoCellAnchor>
  <xdr:twoCellAnchor editAs="oneCell">
    <xdr:from>
      <xdr:col>7</xdr:col>
      <xdr:colOff>57149</xdr:colOff>
      <xdr:row>78</xdr:row>
      <xdr:rowOff>57114</xdr:rowOff>
    </xdr:from>
    <xdr:to>
      <xdr:col>18</xdr:col>
      <xdr:colOff>607039</xdr:colOff>
      <xdr:row>104</xdr:row>
      <xdr:rowOff>142875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6824" y="16402014"/>
          <a:ext cx="8093690" cy="553406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123825</xdr:colOff>
      <xdr:row>9</xdr:row>
      <xdr:rowOff>76200</xdr:rowOff>
    </xdr:from>
    <xdr:to>
      <xdr:col>10</xdr:col>
      <xdr:colOff>78501</xdr:colOff>
      <xdr:row>26</xdr:row>
      <xdr:rowOff>142875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90725"/>
          <a:ext cx="6212601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29</xdr:row>
      <xdr:rowOff>66675</xdr:rowOff>
    </xdr:from>
    <xdr:to>
      <xdr:col>7</xdr:col>
      <xdr:colOff>571500</xdr:colOff>
      <xdr:row>42</xdr:row>
      <xdr:rowOff>180975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172200"/>
          <a:ext cx="47053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114301</xdr:colOff>
      <xdr:row>9</xdr:row>
      <xdr:rowOff>66675</xdr:rowOff>
    </xdr:from>
    <xdr:to>
      <xdr:col>15</xdr:col>
      <xdr:colOff>1054535</xdr:colOff>
      <xdr:row>26</xdr:row>
      <xdr:rowOff>28575</xdr:rowOff>
    </xdr:to>
    <xdr:pic>
      <xdr:nvPicPr>
        <xdr:cNvPr id="4" name="그림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10576" y="1981200"/>
          <a:ext cx="4978834" cy="352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29</xdr:row>
      <xdr:rowOff>57150</xdr:rowOff>
    </xdr:from>
    <xdr:to>
      <xdr:col>14</xdr:col>
      <xdr:colOff>914400</xdr:colOff>
      <xdr:row>43</xdr:row>
      <xdr:rowOff>142774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0100" y="6162675"/>
          <a:ext cx="3419475" cy="3019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44</xdr:row>
      <xdr:rowOff>180975</xdr:rowOff>
    </xdr:from>
    <xdr:to>
      <xdr:col>8</xdr:col>
      <xdr:colOff>171450</xdr:colOff>
      <xdr:row>60</xdr:row>
      <xdr:rowOff>137792</xdr:rowOff>
    </xdr:to>
    <xdr:pic>
      <xdr:nvPicPr>
        <xdr:cNvPr id="6" name="그림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9429750"/>
          <a:ext cx="4981575" cy="3328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571500</xdr:colOff>
      <xdr:row>56</xdr:row>
      <xdr:rowOff>104775</xdr:rowOff>
    </xdr:from>
    <xdr:to>
      <xdr:col>13</xdr:col>
      <xdr:colOff>85725</xdr:colOff>
      <xdr:row>71</xdr:row>
      <xdr:rowOff>116468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11887200"/>
          <a:ext cx="3457575" cy="31549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13</xdr:col>
      <xdr:colOff>285750</xdr:colOff>
      <xdr:row>59</xdr:row>
      <xdr:rowOff>152400</xdr:rowOff>
    </xdr:from>
    <xdr:ext cx="3924300" cy="6225498"/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0" y="12563475"/>
          <a:ext cx="3924300" cy="62254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95250</xdr:colOff>
      <xdr:row>64</xdr:row>
      <xdr:rowOff>133351</xdr:rowOff>
    </xdr:from>
    <xdr:ext cx="4568890" cy="2971800"/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3592176"/>
          <a:ext cx="456889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171450</xdr:colOff>
      <xdr:row>82</xdr:row>
      <xdr:rowOff>46222</xdr:rowOff>
    </xdr:from>
    <xdr:to>
      <xdr:col>8</xdr:col>
      <xdr:colOff>647700</xdr:colOff>
      <xdr:row>105</xdr:row>
      <xdr:rowOff>0</xdr:rowOff>
    </xdr:to>
    <xdr:pic>
      <xdr:nvPicPr>
        <xdr:cNvPr id="10" name="그림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7276947"/>
          <a:ext cx="5362575" cy="4773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125</xdr:row>
      <xdr:rowOff>123825</xdr:rowOff>
    </xdr:from>
    <xdr:to>
      <xdr:col>10</xdr:col>
      <xdr:colOff>619125</xdr:colOff>
      <xdr:row>142</xdr:row>
      <xdr:rowOff>85898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393775"/>
          <a:ext cx="6772275" cy="3543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57149</xdr:colOff>
      <xdr:row>123</xdr:row>
      <xdr:rowOff>180975</xdr:rowOff>
    </xdr:from>
    <xdr:to>
      <xdr:col>21</xdr:col>
      <xdr:colOff>466724</xdr:colOff>
      <xdr:row>136</xdr:row>
      <xdr:rowOff>66771</xdr:rowOff>
    </xdr:to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4" y="26022300"/>
          <a:ext cx="8582025" cy="261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133350</xdr:colOff>
      <xdr:row>3</xdr:row>
      <xdr:rowOff>85725</xdr:rowOff>
    </xdr:from>
    <xdr:to>
      <xdr:col>21</xdr:col>
      <xdr:colOff>371475</xdr:colOff>
      <xdr:row>19</xdr:row>
      <xdr:rowOff>142875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2950" y="714375"/>
          <a:ext cx="6410325" cy="3438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123825</xdr:colOff>
      <xdr:row>17</xdr:row>
      <xdr:rowOff>47625</xdr:rowOff>
    </xdr:from>
    <xdr:to>
      <xdr:col>10</xdr:col>
      <xdr:colOff>123825</xdr:colOff>
      <xdr:row>20</xdr:row>
      <xdr:rowOff>194457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3800" y="21888450"/>
          <a:ext cx="2057400" cy="775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28575</xdr:colOff>
      <xdr:row>24</xdr:row>
      <xdr:rowOff>47625</xdr:rowOff>
    </xdr:from>
    <xdr:to>
      <xdr:col>12</xdr:col>
      <xdr:colOff>142875</xdr:colOff>
      <xdr:row>27</xdr:row>
      <xdr:rowOff>133350</xdr:rowOff>
    </xdr:to>
    <xdr:pic>
      <xdr:nvPicPr>
        <xdr:cNvPr id="4" name="그림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23355300"/>
          <a:ext cx="56007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27</xdr:row>
      <xdr:rowOff>190500</xdr:rowOff>
    </xdr:from>
    <xdr:to>
      <xdr:col>12</xdr:col>
      <xdr:colOff>171450</xdr:colOff>
      <xdr:row>31</xdr:row>
      <xdr:rowOff>47625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24126825"/>
          <a:ext cx="5562600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15"/>
  <sheetViews>
    <sheetView workbookViewId="0">
      <selection activeCell="E10" sqref="E10"/>
    </sheetView>
  </sheetViews>
  <sheetFormatPr defaultRowHeight="16.5" x14ac:dyDescent="0.3"/>
  <cols>
    <col min="3" max="3" width="12.75" customWidth="1"/>
    <col min="4" max="4" width="17.75" bestFit="1" customWidth="1"/>
  </cols>
  <sheetData>
    <row r="3" spans="2:9" x14ac:dyDescent="0.3">
      <c r="B3" s="189" t="s">
        <v>8</v>
      </c>
      <c r="C3" s="189"/>
      <c r="D3" s="179"/>
      <c r="E3" s="2">
        <v>1</v>
      </c>
      <c r="F3" s="2">
        <v>2</v>
      </c>
      <c r="G3" s="2">
        <v>3</v>
      </c>
      <c r="H3" s="2">
        <v>4</v>
      </c>
      <c r="I3" s="3" t="s">
        <v>2</v>
      </c>
    </row>
    <row r="4" spans="2:9" x14ac:dyDescent="0.3">
      <c r="B4" t="s">
        <v>9</v>
      </c>
      <c r="C4" t="s">
        <v>0</v>
      </c>
      <c r="E4" s="1" t="s">
        <v>1</v>
      </c>
      <c r="F4" s="1" t="s">
        <v>1</v>
      </c>
      <c r="G4" s="1" t="s">
        <v>1</v>
      </c>
      <c r="H4" s="1" t="s">
        <v>1</v>
      </c>
      <c r="I4" s="1" t="s">
        <v>3</v>
      </c>
    </row>
    <row r="5" spans="2:9" x14ac:dyDescent="0.3">
      <c r="C5" t="s">
        <v>4</v>
      </c>
      <c r="E5" s="1" t="s">
        <v>1</v>
      </c>
      <c r="F5" s="1" t="s">
        <v>1</v>
      </c>
      <c r="G5" s="1" t="s">
        <v>1</v>
      </c>
      <c r="H5" s="1" t="s">
        <v>1</v>
      </c>
      <c r="I5" s="1" t="s">
        <v>3</v>
      </c>
    </row>
    <row r="6" spans="2:9" x14ac:dyDescent="0.3">
      <c r="C6" t="s">
        <v>5</v>
      </c>
      <c r="E6" s="1" t="s">
        <v>1</v>
      </c>
      <c r="F6" s="1" t="s">
        <v>1</v>
      </c>
      <c r="G6" s="1" t="s">
        <v>1</v>
      </c>
      <c r="H6" s="1" t="s">
        <v>1</v>
      </c>
      <c r="I6" s="1" t="s">
        <v>3</v>
      </c>
    </row>
    <row r="7" spans="2:9" x14ac:dyDescent="0.3">
      <c r="C7" t="s">
        <v>6</v>
      </c>
      <c r="E7" s="1" t="s">
        <v>1</v>
      </c>
      <c r="F7" s="1" t="s">
        <v>1</v>
      </c>
      <c r="G7" s="1" t="s">
        <v>1</v>
      </c>
      <c r="H7" s="1" t="s">
        <v>1</v>
      </c>
      <c r="I7" s="1" t="s">
        <v>3</v>
      </c>
    </row>
    <row r="8" spans="2:9" x14ac:dyDescent="0.3">
      <c r="C8" t="s">
        <v>7</v>
      </c>
      <c r="F8" s="1" t="s">
        <v>1</v>
      </c>
    </row>
    <row r="9" spans="2:9" x14ac:dyDescent="0.3">
      <c r="C9" t="s">
        <v>238</v>
      </c>
      <c r="F9" s="1" t="s">
        <v>1</v>
      </c>
    </row>
    <row r="10" spans="2:9" x14ac:dyDescent="0.3">
      <c r="B10" t="s">
        <v>265</v>
      </c>
      <c r="C10" t="s">
        <v>266</v>
      </c>
      <c r="E10" s="1" t="s">
        <v>3</v>
      </c>
      <c r="F10" s="1" t="s">
        <v>3</v>
      </c>
      <c r="G10" s="1" t="s">
        <v>3</v>
      </c>
      <c r="H10" s="1" t="s">
        <v>3</v>
      </c>
    </row>
    <row r="12" spans="2:9" x14ac:dyDescent="0.3">
      <c r="B12" t="s">
        <v>232</v>
      </c>
      <c r="C12" s="190" t="s">
        <v>233</v>
      </c>
      <c r="D12" t="s">
        <v>234</v>
      </c>
      <c r="F12" s="1" t="s">
        <v>1</v>
      </c>
    </row>
    <row r="13" spans="2:9" x14ac:dyDescent="0.3">
      <c r="C13" s="190"/>
      <c r="D13" t="s">
        <v>235</v>
      </c>
      <c r="F13" s="1" t="s">
        <v>1</v>
      </c>
    </row>
    <row r="14" spans="2:9" x14ac:dyDescent="0.3">
      <c r="C14" s="190"/>
      <c r="D14" t="s">
        <v>236</v>
      </c>
      <c r="F14" s="1" t="s">
        <v>1</v>
      </c>
    </row>
    <row r="15" spans="2:9" x14ac:dyDescent="0.3">
      <c r="C15" s="190"/>
      <c r="D15" t="s">
        <v>237</v>
      </c>
      <c r="F15" s="1" t="s">
        <v>1</v>
      </c>
    </row>
  </sheetData>
  <mergeCells count="2">
    <mergeCell ref="B3:C3"/>
    <mergeCell ref="C12:C15"/>
  </mergeCells>
  <phoneticPr fontId="1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33"/>
  <sheetViews>
    <sheetView tabSelected="1" workbookViewId="0">
      <selection activeCell="P25" sqref="P25"/>
    </sheetView>
  </sheetViews>
  <sheetFormatPr defaultRowHeight="16.5" x14ac:dyDescent="0.3"/>
  <sheetData>
    <row r="2" spans="2:9" x14ac:dyDescent="0.3">
      <c r="B2" s="4" t="s">
        <v>319</v>
      </c>
    </row>
    <row r="3" spans="2:9" x14ac:dyDescent="0.3">
      <c r="B3" s="4"/>
      <c r="C3" t="s">
        <v>320</v>
      </c>
    </row>
    <row r="4" spans="2:9" x14ac:dyDescent="0.3">
      <c r="B4" s="4"/>
      <c r="C4" t="s">
        <v>321</v>
      </c>
    </row>
    <row r="5" spans="2:9" x14ac:dyDescent="0.3">
      <c r="B5" s="4"/>
      <c r="D5" t="s">
        <v>322</v>
      </c>
    </row>
    <row r="6" spans="2:9" x14ac:dyDescent="0.3">
      <c r="B6" s="4"/>
      <c r="D6" t="s">
        <v>323</v>
      </c>
    </row>
    <row r="7" spans="2:9" x14ac:dyDescent="0.3">
      <c r="B7" s="4"/>
      <c r="D7" t="s">
        <v>324</v>
      </c>
    </row>
    <row r="8" spans="2:9" x14ac:dyDescent="0.3">
      <c r="B8" s="4"/>
      <c r="D8" t="s">
        <v>325</v>
      </c>
    </row>
    <row r="9" spans="2:9" x14ac:dyDescent="0.3">
      <c r="B9" s="4"/>
      <c r="D9" t="s">
        <v>326</v>
      </c>
    </row>
    <row r="10" spans="2:9" ht="17.25" thickBot="1" x14ac:dyDescent="0.35">
      <c r="B10" s="4"/>
      <c r="D10" t="s">
        <v>327</v>
      </c>
    </row>
    <row r="11" spans="2:9" ht="17.25" thickBot="1" x14ac:dyDescent="0.35">
      <c r="B11" s="4"/>
      <c r="E11" s="184" t="s">
        <v>328</v>
      </c>
      <c r="F11" s="185" t="s">
        <v>329</v>
      </c>
      <c r="G11" s="185" t="s">
        <v>330</v>
      </c>
      <c r="H11" s="185" t="s">
        <v>331</v>
      </c>
      <c r="I11" s="186" t="s">
        <v>332</v>
      </c>
    </row>
    <row r="12" spans="2:9" x14ac:dyDescent="0.3">
      <c r="B12" s="4"/>
      <c r="E12" s="26">
        <v>1200</v>
      </c>
      <c r="F12" s="28">
        <f>1/E12*1000</f>
        <v>0.83333333333333337</v>
      </c>
      <c r="G12" s="28">
        <f>F12*8</f>
        <v>6.666666666666667</v>
      </c>
      <c r="H12" s="28">
        <f>F12*10</f>
        <v>8.3333333333333339</v>
      </c>
      <c r="I12" s="76">
        <f>1/H12</f>
        <v>0.12</v>
      </c>
    </row>
    <row r="13" spans="2:9" x14ac:dyDescent="0.3">
      <c r="B13" s="4"/>
      <c r="E13" s="9">
        <v>9600</v>
      </c>
      <c r="F13" s="19">
        <f>1/E13*1000</f>
        <v>0.10416666666666667</v>
      </c>
      <c r="G13" s="19">
        <f>F13*8</f>
        <v>0.83333333333333337</v>
      </c>
      <c r="H13" s="19">
        <f>F13*10</f>
        <v>1.0416666666666667</v>
      </c>
      <c r="I13" s="8">
        <f>1/H13</f>
        <v>0.96</v>
      </c>
    </row>
    <row r="14" spans="2:9" x14ac:dyDescent="0.3">
      <c r="B14" s="4"/>
      <c r="E14" s="9">
        <v>38400</v>
      </c>
      <c r="F14" s="19">
        <f>1/E14*1000</f>
        <v>2.6041666666666668E-2</v>
      </c>
      <c r="G14" s="19">
        <f>F14*8</f>
        <v>0.20833333333333334</v>
      </c>
      <c r="H14" s="19">
        <f>F14*10</f>
        <v>0.26041666666666669</v>
      </c>
      <c r="I14" s="8">
        <f>1/H14</f>
        <v>3.84</v>
      </c>
    </row>
    <row r="15" spans="2:9" ht="17.25" thickBot="1" x14ac:dyDescent="0.35">
      <c r="B15" s="4"/>
      <c r="E15" s="12">
        <v>115200</v>
      </c>
      <c r="F15" s="21">
        <f>1/E15*1000</f>
        <v>8.6805555555555559E-3</v>
      </c>
      <c r="G15" s="21">
        <f>F15*8</f>
        <v>6.9444444444444448E-2</v>
      </c>
      <c r="H15" s="21">
        <f>F15*10</f>
        <v>8.6805555555555552E-2</v>
      </c>
      <c r="I15" s="18">
        <f>1/H15</f>
        <v>11.52</v>
      </c>
    </row>
    <row r="16" spans="2:9" x14ac:dyDescent="0.3">
      <c r="B16" s="4"/>
    </row>
    <row r="17" spans="2:5" x14ac:dyDescent="0.3">
      <c r="B17" s="4"/>
      <c r="C17" t="s">
        <v>333</v>
      </c>
    </row>
    <row r="18" spans="2:5" x14ac:dyDescent="0.3">
      <c r="B18" s="4"/>
      <c r="D18" t="s">
        <v>334</v>
      </c>
    </row>
    <row r="19" spans="2:5" x14ac:dyDescent="0.3">
      <c r="B19" s="4"/>
      <c r="E19" t="s">
        <v>335</v>
      </c>
    </row>
    <row r="20" spans="2:5" x14ac:dyDescent="0.3">
      <c r="B20" s="4"/>
      <c r="E20" t="s">
        <v>336</v>
      </c>
    </row>
    <row r="21" spans="2:5" x14ac:dyDescent="0.3">
      <c r="B21" s="4"/>
      <c r="E21" t="s">
        <v>337</v>
      </c>
    </row>
    <row r="22" spans="2:5" x14ac:dyDescent="0.3">
      <c r="B22" s="4"/>
    </row>
    <row r="23" spans="2:5" x14ac:dyDescent="0.3">
      <c r="B23" s="4"/>
      <c r="D23" t="s">
        <v>338</v>
      </c>
    </row>
    <row r="24" spans="2:5" x14ac:dyDescent="0.3">
      <c r="B24" s="4"/>
      <c r="D24" t="s">
        <v>339</v>
      </c>
    </row>
    <row r="25" spans="2:5" x14ac:dyDescent="0.3">
      <c r="B25" s="4"/>
    </row>
    <row r="26" spans="2:5" x14ac:dyDescent="0.3">
      <c r="B26" s="4"/>
    </row>
    <row r="27" spans="2:5" x14ac:dyDescent="0.3">
      <c r="B27" s="4"/>
    </row>
    <row r="28" spans="2:5" x14ac:dyDescent="0.3">
      <c r="B28" s="4"/>
    </row>
    <row r="29" spans="2:5" x14ac:dyDescent="0.3">
      <c r="B29" s="4"/>
    </row>
    <row r="30" spans="2:5" x14ac:dyDescent="0.3">
      <c r="B30" s="4"/>
    </row>
    <row r="31" spans="2:5" x14ac:dyDescent="0.3">
      <c r="B31" s="4"/>
    </row>
    <row r="32" spans="2:5" x14ac:dyDescent="0.3">
      <c r="B32" s="4"/>
    </row>
    <row r="33" spans="2:2" x14ac:dyDescent="0.3">
      <c r="B33" s="4"/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101"/>
  <sheetViews>
    <sheetView topLeftCell="A49" workbookViewId="0">
      <selection activeCell="S80" sqref="S80"/>
    </sheetView>
  </sheetViews>
  <sheetFormatPr defaultRowHeight="16.5" x14ac:dyDescent="0.3"/>
  <cols>
    <col min="1" max="3" width="4.5" customWidth="1"/>
    <col min="4" max="4" width="11" customWidth="1"/>
    <col min="5" max="5" width="9" customWidth="1"/>
    <col min="7" max="7" width="10.375" bestFit="1" customWidth="1"/>
    <col min="12" max="12" width="5.375" customWidth="1"/>
    <col min="13" max="14" width="7.5" bestFit="1" customWidth="1"/>
    <col min="15" max="15" width="8.5" bestFit="1" customWidth="1"/>
    <col min="16" max="16" width="6.5" bestFit="1" customWidth="1"/>
    <col min="17" max="17" width="8.5" bestFit="1" customWidth="1"/>
    <col min="18" max="18" width="6.375" bestFit="1" customWidth="1"/>
    <col min="19" max="19" width="5.875" bestFit="1" customWidth="1"/>
    <col min="20" max="21" width="5.625" customWidth="1"/>
    <col min="22" max="22" width="5.875" customWidth="1"/>
  </cols>
  <sheetData>
    <row r="2" spans="2:7" x14ac:dyDescent="0.3">
      <c r="B2" s="4" t="s">
        <v>10</v>
      </c>
    </row>
    <row r="3" spans="2:7" x14ac:dyDescent="0.3">
      <c r="C3" t="s">
        <v>11</v>
      </c>
    </row>
    <row r="4" spans="2:7" x14ac:dyDescent="0.3">
      <c r="C4" t="s">
        <v>16</v>
      </c>
    </row>
    <row r="6" spans="2:7" x14ac:dyDescent="0.3">
      <c r="C6" t="s">
        <v>38</v>
      </c>
    </row>
    <row r="7" spans="2:7" ht="17.25" thickBot="1" x14ac:dyDescent="0.35"/>
    <row r="8" spans="2:7" x14ac:dyDescent="0.3">
      <c r="D8" s="50" t="s">
        <v>39</v>
      </c>
      <c r="E8" s="16">
        <v>280</v>
      </c>
      <c r="F8" s="37">
        <v>280</v>
      </c>
      <c r="G8" s="60">
        <v>280</v>
      </c>
    </row>
    <row r="9" spans="2:7" x14ac:dyDescent="0.3">
      <c r="D9" s="51" t="s">
        <v>40</v>
      </c>
      <c r="E9" s="9">
        <v>10</v>
      </c>
      <c r="F9" s="7">
        <v>5</v>
      </c>
      <c r="G9" s="61">
        <v>6</v>
      </c>
    </row>
    <row r="10" spans="2:7" x14ac:dyDescent="0.3">
      <c r="D10" s="51" t="s">
        <v>41</v>
      </c>
      <c r="E10" s="48">
        <f>E8/E9</f>
        <v>28</v>
      </c>
      <c r="F10" s="10">
        <f>F8/F9</f>
        <v>56</v>
      </c>
      <c r="G10" s="62">
        <f>G8/G9</f>
        <v>46.666666666666664</v>
      </c>
    </row>
    <row r="11" spans="2:7" ht="17.25" thickBot="1" x14ac:dyDescent="0.35">
      <c r="D11" s="52" t="s">
        <v>42</v>
      </c>
      <c r="E11" s="12">
        <f>255/E9</f>
        <v>25.5</v>
      </c>
      <c r="F11" s="13">
        <f>255/F9</f>
        <v>51</v>
      </c>
      <c r="G11" s="63">
        <f>255/G9</f>
        <v>42.5</v>
      </c>
    </row>
    <row r="16" spans="2:7" x14ac:dyDescent="0.3">
      <c r="D16" t="s">
        <v>21</v>
      </c>
    </row>
    <row r="17" spans="4:22" x14ac:dyDescent="0.3">
      <c r="D17" s="5" t="s">
        <v>22</v>
      </c>
    </row>
    <row r="18" spans="4:22" ht="17.25" thickBot="1" x14ac:dyDescent="0.35">
      <c r="D18" s="5" t="s">
        <v>23</v>
      </c>
      <c r="L18" s="4" t="s">
        <v>27</v>
      </c>
    </row>
    <row r="19" spans="4:22" x14ac:dyDescent="0.3">
      <c r="D19" t="s">
        <v>24</v>
      </c>
      <c r="M19" s="58" t="s">
        <v>12</v>
      </c>
      <c r="N19" s="24">
        <v>10.8</v>
      </c>
    </row>
    <row r="20" spans="4:22" ht="17.25" thickBot="1" x14ac:dyDescent="0.35">
      <c r="M20" s="59" t="s">
        <v>20</v>
      </c>
      <c r="N20" s="25">
        <v>3.2509999999999999</v>
      </c>
    </row>
    <row r="21" spans="4:22" x14ac:dyDescent="0.3">
      <c r="D21" s="191" t="s">
        <v>28</v>
      </c>
      <c r="E21" s="192"/>
      <c r="F21" s="192"/>
      <c r="G21" s="198"/>
      <c r="H21" s="191" t="s">
        <v>19</v>
      </c>
      <c r="I21" s="192"/>
      <c r="J21" s="193"/>
      <c r="M21" s="191" t="s">
        <v>25</v>
      </c>
      <c r="N21" s="192"/>
      <c r="O21" s="192"/>
      <c r="P21" s="192"/>
      <c r="Q21" s="192" t="s">
        <v>26</v>
      </c>
      <c r="R21" s="192"/>
      <c r="S21" s="198"/>
      <c r="T21" s="191" t="s">
        <v>19</v>
      </c>
      <c r="U21" s="192"/>
      <c r="V21" s="193"/>
    </row>
    <row r="22" spans="4:22" ht="17.25" thickBot="1" x14ac:dyDescent="0.35">
      <c r="D22" s="53" t="s">
        <v>14</v>
      </c>
      <c r="E22" s="54" t="s">
        <v>13</v>
      </c>
      <c r="F22" s="54" t="s">
        <v>15</v>
      </c>
      <c r="G22" s="55" t="s">
        <v>17</v>
      </c>
      <c r="H22" s="56">
        <v>25</v>
      </c>
      <c r="I22" s="64">
        <v>42</v>
      </c>
      <c r="J22" s="57">
        <v>50</v>
      </c>
      <c r="M22" s="53" t="s">
        <v>14</v>
      </c>
      <c r="N22" s="54" t="s">
        <v>13</v>
      </c>
      <c r="O22" s="54" t="s">
        <v>12</v>
      </c>
      <c r="P22" s="54" t="s">
        <v>15</v>
      </c>
      <c r="Q22" s="54" t="s">
        <v>13</v>
      </c>
      <c r="R22" s="54" t="s">
        <v>15</v>
      </c>
      <c r="S22" s="55" t="s">
        <v>17</v>
      </c>
      <c r="T22" s="56">
        <v>25</v>
      </c>
      <c r="U22" s="64">
        <v>42</v>
      </c>
      <c r="V22" s="57">
        <v>50</v>
      </c>
    </row>
    <row r="23" spans="4:22" x14ac:dyDescent="0.3">
      <c r="D23" s="26">
        <v>0</v>
      </c>
      <c r="E23" s="27">
        <f>10-D23</f>
        <v>10</v>
      </c>
      <c r="F23" s="27">
        <f>3.3*E23/10</f>
        <v>3.3</v>
      </c>
      <c r="G23" s="42">
        <f>F23*255/3.3</f>
        <v>255</v>
      </c>
      <c r="H23" s="45">
        <f t="shared" ref="H23:H33" si="0">G23/H$22</f>
        <v>10.199999999999999</v>
      </c>
      <c r="I23" s="65">
        <f t="shared" ref="I23:I31" si="1">G23/I$22</f>
        <v>6.0714285714285712</v>
      </c>
      <c r="J23" s="47">
        <f>G23/J$22</f>
        <v>5.0999999999999996</v>
      </c>
      <c r="M23" s="26">
        <v>1.6000000000000001E-3</v>
      </c>
      <c r="N23" s="27">
        <v>10.79</v>
      </c>
      <c r="O23" s="28">
        <f t="shared" ref="O23:O34" si="2">M23+N23</f>
        <v>10.791599999999999</v>
      </c>
      <c r="P23" s="28">
        <v>3.25</v>
      </c>
      <c r="Q23" s="27">
        <f t="shared" ref="Q23:Q34" si="3">N$19-M23</f>
        <v>10.798400000000001</v>
      </c>
      <c r="R23" s="29">
        <f t="shared" ref="R23:R34" si="4">$N$20*N23/(M23+N23)</f>
        <v>3.2505179954779644</v>
      </c>
      <c r="S23" s="42">
        <f>R23*255/3.3</f>
        <v>251.17639055966092</v>
      </c>
      <c r="T23" s="45">
        <f>S23/T$22</f>
        <v>10.047055622386436</v>
      </c>
      <c r="U23" s="65">
        <f>S23/U$22</f>
        <v>5.9803902514204976</v>
      </c>
      <c r="V23" s="47">
        <f>S23/V$22</f>
        <v>5.023527811193218</v>
      </c>
    </row>
    <row r="24" spans="4:22" x14ac:dyDescent="0.3">
      <c r="D24" s="9">
        <v>1</v>
      </c>
      <c r="E24" s="7">
        <f>10-D24</f>
        <v>9</v>
      </c>
      <c r="F24" s="7">
        <f>3.3*E24/10</f>
        <v>2.9699999999999998</v>
      </c>
      <c r="G24" s="43">
        <f t="shared" ref="G24:G33" si="5">F24*255/3.3</f>
        <v>229.49999999999997</v>
      </c>
      <c r="H24" s="48">
        <f t="shared" si="0"/>
        <v>9.18</v>
      </c>
      <c r="I24" s="66">
        <f t="shared" si="1"/>
        <v>5.4642857142857135</v>
      </c>
      <c r="J24" s="11">
        <f t="shared" ref="J24:J33" si="6">G24/J$22</f>
        <v>4.59</v>
      </c>
      <c r="M24" s="9">
        <v>1.093</v>
      </c>
      <c r="N24" s="7">
        <v>9.85</v>
      </c>
      <c r="O24" s="19">
        <f t="shared" si="2"/>
        <v>10.943</v>
      </c>
      <c r="P24" s="7">
        <v>2.9460000000000002</v>
      </c>
      <c r="Q24" s="7">
        <f t="shared" si="3"/>
        <v>9.7070000000000007</v>
      </c>
      <c r="R24" s="20">
        <f t="shared" si="4"/>
        <v>2.9262862103627887</v>
      </c>
      <c r="S24" s="43">
        <f t="shared" ref="S24:S34" si="7">R24*255/3.3</f>
        <v>226.12211625530639</v>
      </c>
      <c r="T24" s="48">
        <f t="shared" ref="T24:T34" si="8">S24/T$22</f>
        <v>9.0448846502122553</v>
      </c>
      <c r="U24" s="66">
        <f t="shared" ref="U24:U34" si="9">S24/U$22</f>
        <v>5.3838599108406289</v>
      </c>
      <c r="V24" s="11">
        <f t="shared" ref="V24:V34" si="10">S24/V$22</f>
        <v>4.5224423251061276</v>
      </c>
    </row>
    <row r="25" spans="4:22" x14ac:dyDescent="0.3">
      <c r="D25" s="9">
        <v>2</v>
      </c>
      <c r="E25" s="7">
        <f t="shared" ref="E25:E33" si="11">10-D25</f>
        <v>8</v>
      </c>
      <c r="F25" s="7">
        <f t="shared" ref="F25:F33" si="12">3.3*E25/10</f>
        <v>2.6399999999999997</v>
      </c>
      <c r="G25" s="43">
        <f t="shared" si="5"/>
        <v>204</v>
      </c>
      <c r="H25" s="48">
        <f t="shared" si="0"/>
        <v>8.16</v>
      </c>
      <c r="I25" s="66">
        <f t="shared" si="1"/>
        <v>4.8571428571428568</v>
      </c>
      <c r="J25" s="11">
        <f t="shared" si="6"/>
        <v>4.08</v>
      </c>
      <c r="M25" s="9">
        <v>2.0099999999999998</v>
      </c>
      <c r="N25" s="7">
        <v>8.9600000000000009</v>
      </c>
      <c r="O25" s="19">
        <f t="shared" si="2"/>
        <v>10.97</v>
      </c>
      <c r="P25" s="7">
        <v>2.6720000000000002</v>
      </c>
      <c r="Q25" s="7">
        <f t="shared" si="3"/>
        <v>8.7900000000000009</v>
      </c>
      <c r="R25" s="20">
        <f t="shared" si="4"/>
        <v>2.6553290793072017</v>
      </c>
      <c r="S25" s="43">
        <f t="shared" si="7"/>
        <v>205.18451976464743</v>
      </c>
      <c r="T25" s="48">
        <f t="shared" si="8"/>
        <v>8.2073807905858978</v>
      </c>
      <c r="U25" s="66">
        <f t="shared" si="9"/>
        <v>4.885345708682082</v>
      </c>
      <c r="V25" s="11">
        <f t="shared" si="10"/>
        <v>4.1036903952929489</v>
      </c>
    </row>
    <row r="26" spans="4:22" x14ac:dyDescent="0.3">
      <c r="D26" s="9">
        <v>3</v>
      </c>
      <c r="E26" s="7">
        <f t="shared" si="11"/>
        <v>7</v>
      </c>
      <c r="F26" s="7">
        <f t="shared" si="12"/>
        <v>2.3099999999999996</v>
      </c>
      <c r="G26" s="43">
        <f t="shared" si="5"/>
        <v>178.5</v>
      </c>
      <c r="H26" s="48">
        <f t="shared" si="0"/>
        <v>7.14</v>
      </c>
      <c r="I26" s="66">
        <f t="shared" si="1"/>
        <v>4.25</v>
      </c>
      <c r="J26" s="11">
        <f t="shared" si="6"/>
        <v>3.57</v>
      </c>
      <c r="M26" s="9">
        <v>3.0249999999999999</v>
      </c>
      <c r="N26" s="7">
        <v>8.0500000000000007</v>
      </c>
      <c r="O26" s="7">
        <f t="shared" si="2"/>
        <v>11.075000000000001</v>
      </c>
      <c r="P26" s="19">
        <v>2.38</v>
      </c>
      <c r="Q26" s="7">
        <f t="shared" si="3"/>
        <v>7.7750000000000004</v>
      </c>
      <c r="R26" s="20">
        <f t="shared" si="4"/>
        <v>2.3630293453724605</v>
      </c>
      <c r="S26" s="43">
        <f t="shared" si="7"/>
        <v>182.59772214241741</v>
      </c>
      <c r="T26" s="48">
        <f t="shared" si="8"/>
        <v>7.3039088856966963</v>
      </c>
      <c r="U26" s="66">
        <f t="shared" si="9"/>
        <v>4.3475648129147002</v>
      </c>
      <c r="V26" s="11">
        <f t="shared" si="10"/>
        <v>3.6519544428483481</v>
      </c>
    </row>
    <row r="27" spans="4:22" x14ac:dyDescent="0.3">
      <c r="D27" s="9">
        <v>4</v>
      </c>
      <c r="E27" s="7">
        <f t="shared" si="11"/>
        <v>6</v>
      </c>
      <c r="F27" s="7">
        <f t="shared" si="12"/>
        <v>1.9799999999999998</v>
      </c>
      <c r="G27" s="43">
        <f t="shared" si="5"/>
        <v>152.99999999999997</v>
      </c>
      <c r="H27" s="48">
        <f t="shared" si="0"/>
        <v>6.1199999999999992</v>
      </c>
      <c r="I27" s="66">
        <f t="shared" si="1"/>
        <v>3.6428571428571423</v>
      </c>
      <c r="J27" s="11">
        <f t="shared" si="6"/>
        <v>3.0599999999999996</v>
      </c>
      <c r="M27" s="9">
        <v>4.0529999999999999</v>
      </c>
      <c r="N27" s="7">
        <v>7.08</v>
      </c>
      <c r="O27" s="7">
        <f t="shared" si="2"/>
        <v>11.132999999999999</v>
      </c>
      <c r="P27" s="19">
        <v>2.077</v>
      </c>
      <c r="Q27" s="7">
        <f t="shared" si="3"/>
        <v>6.7470000000000008</v>
      </c>
      <c r="R27" s="20">
        <f t="shared" si="4"/>
        <v>2.0674642953381839</v>
      </c>
      <c r="S27" s="43">
        <f t="shared" si="7"/>
        <v>159.75860463976878</v>
      </c>
      <c r="T27" s="48">
        <f t="shared" si="8"/>
        <v>6.3903441855907515</v>
      </c>
      <c r="U27" s="66">
        <f t="shared" si="9"/>
        <v>3.8037763009468755</v>
      </c>
      <c r="V27" s="11">
        <f t="shared" si="10"/>
        <v>3.1951720927953757</v>
      </c>
    </row>
    <row r="28" spans="4:22" x14ac:dyDescent="0.3">
      <c r="D28" s="9">
        <v>5</v>
      </c>
      <c r="E28" s="7">
        <f t="shared" si="11"/>
        <v>5</v>
      </c>
      <c r="F28" s="7">
        <f t="shared" si="12"/>
        <v>1.65</v>
      </c>
      <c r="G28" s="43">
        <f t="shared" si="5"/>
        <v>127.5</v>
      </c>
      <c r="H28" s="48">
        <f t="shared" si="0"/>
        <v>5.0999999999999996</v>
      </c>
      <c r="I28" s="66">
        <f t="shared" si="1"/>
        <v>3.0357142857142856</v>
      </c>
      <c r="J28" s="11">
        <f t="shared" si="6"/>
        <v>2.5499999999999998</v>
      </c>
      <c r="M28" s="9">
        <v>5.07</v>
      </c>
      <c r="N28" s="7">
        <v>6.25</v>
      </c>
      <c r="O28" s="7">
        <f t="shared" si="2"/>
        <v>11.32</v>
      </c>
      <c r="P28" s="19">
        <v>1.8009999999999999</v>
      </c>
      <c r="Q28" s="7">
        <f t="shared" si="3"/>
        <v>5.73</v>
      </c>
      <c r="R28" s="20">
        <f t="shared" si="4"/>
        <v>1.7949425795053002</v>
      </c>
      <c r="S28" s="43">
        <f t="shared" si="7"/>
        <v>138.70010841631867</v>
      </c>
      <c r="T28" s="48">
        <f t="shared" si="8"/>
        <v>5.5480043366527472</v>
      </c>
      <c r="U28" s="66">
        <f t="shared" si="9"/>
        <v>3.3023835337218732</v>
      </c>
      <c r="V28" s="11">
        <f t="shared" si="10"/>
        <v>2.7740021683263736</v>
      </c>
    </row>
    <row r="29" spans="4:22" x14ac:dyDescent="0.3">
      <c r="D29" s="9">
        <v>6</v>
      </c>
      <c r="E29" s="7">
        <f t="shared" si="11"/>
        <v>4</v>
      </c>
      <c r="F29" s="7">
        <f t="shared" si="12"/>
        <v>1.3199999999999998</v>
      </c>
      <c r="G29" s="43">
        <f t="shared" si="5"/>
        <v>102</v>
      </c>
      <c r="H29" s="48">
        <f t="shared" si="0"/>
        <v>4.08</v>
      </c>
      <c r="I29" s="66">
        <f t="shared" si="1"/>
        <v>2.4285714285714284</v>
      </c>
      <c r="J29" s="11">
        <f t="shared" si="6"/>
        <v>2.04</v>
      </c>
      <c r="M29" s="9">
        <v>6.05</v>
      </c>
      <c r="N29" s="7">
        <v>5.21</v>
      </c>
      <c r="O29" s="7">
        <f t="shared" si="2"/>
        <v>11.26</v>
      </c>
      <c r="P29" s="19">
        <v>1.498</v>
      </c>
      <c r="Q29" s="7">
        <f t="shared" si="3"/>
        <v>4.7500000000000009</v>
      </c>
      <c r="R29" s="20">
        <f t="shared" si="4"/>
        <v>1.5042371225577265</v>
      </c>
      <c r="S29" s="43">
        <f t="shared" si="7"/>
        <v>116.23650492491522</v>
      </c>
      <c r="T29" s="48">
        <f t="shared" si="8"/>
        <v>4.6494601969966087</v>
      </c>
      <c r="U29" s="66">
        <f t="shared" si="9"/>
        <v>2.7675358315456005</v>
      </c>
      <c r="V29" s="11">
        <f t="shared" si="10"/>
        <v>2.3247300984983044</v>
      </c>
    </row>
    <row r="30" spans="4:22" x14ac:dyDescent="0.3">
      <c r="D30" s="9">
        <v>7</v>
      </c>
      <c r="E30" s="7">
        <f t="shared" si="11"/>
        <v>3</v>
      </c>
      <c r="F30" s="7">
        <f t="shared" si="12"/>
        <v>0.98999999999999988</v>
      </c>
      <c r="G30" s="43">
        <f t="shared" si="5"/>
        <v>76.499999999999986</v>
      </c>
      <c r="H30" s="48">
        <f t="shared" si="0"/>
        <v>3.0599999999999996</v>
      </c>
      <c r="I30" s="66">
        <f t="shared" si="1"/>
        <v>1.8214285714285712</v>
      </c>
      <c r="J30" s="11">
        <f t="shared" si="6"/>
        <v>1.5299999999999998</v>
      </c>
      <c r="M30" s="9">
        <v>7.03</v>
      </c>
      <c r="N30" s="7">
        <v>4.343</v>
      </c>
      <c r="O30" s="7">
        <f t="shared" si="2"/>
        <v>11.373000000000001</v>
      </c>
      <c r="P30" s="19">
        <v>1.22</v>
      </c>
      <c r="Q30" s="7">
        <f t="shared" si="3"/>
        <v>3.7700000000000005</v>
      </c>
      <c r="R30" s="20">
        <f t="shared" si="4"/>
        <v>1.2414572232480434</v>
      </c>
      <c r="S30" s="43">
        <f t="shared" si="7"/>
        <v>95.930785432803361</v>
      </c>
      <c r="T30" s="48">
        <f t="shared" si="8"/>
        <v>3.8372314173121342</v>
      </c>
      <c r="U30" s="66">
        <f t="shared" si="9"/>
        <v>2.2840663198286513</v>
      </c>
      <c r="V30" s="11">
        <f t="shared" si="10"/>
        <v>1.9186157086560671</v>
      </c>
    </row>
    <row r="31" spans="4:22" x14ac:dyDescent="0.3">
      <c r="D31" s="9">
        <v>8</v>
      </c>
      <c r="E31" s="7">
        <f t="shared" si="11"/>
        <v>2</v>
      </c>
      <c r="F31" s="7">
        <f t="shared" si="12"/>
        <v>0.65999999999999992</v>
      </c>
      <c r="G31" s="43">
        <f t="shared" si="5"/>
        <v>51</v>
      </c>
      <c r="H31" s="48">
        <f t="shared" si="0"/>
        <v>2.04</v>
      </c>
      <c r="I31" s="66">
        <f t="shared" si="1"/>
        <v>1.2142857142857142</v>
      </c>
      <c r="J31" s="11">
        <f t="shared" si="6"/>
        <v>1.02</v>
      </c>
      <c r="M31" s="9">
        <v>8.0299999999999994</v>
      </c>
      <c r="N31" s="7">
        <v>3.3050000000000002</v>
      </c>
      <c r="O31" s="7">
        <f t="shared" si="2"/>
        <v>11.334999999999999</v>
      </c>
      <c r="P31" s="19">
        <v>0.91700000000000004</v>
      </c>
      <c r="Q31" s="7">
        <f t="shared" si="3"/>
        <v>2.7700000000000014</v>
      </c>
      <c r="R31" s="20">
        <f t="shared" si="4"/>
        <v>0.94790957212174687</v>
      </c>
      <c r="S31" s="43">
        <f t="shared" si="7"/>
        <v>73.247557845771354</v>
      </c>
      <c r="T31" s="48">
        <f t="shared" si="8"/>
        <v>2.929902313830854</v>
      </c>
      <c r="U31" s="66">
        <f t="shared" si="9"/>
        <v>1.7439894725183656</v>
      </c>
      <c r="V31" s="11">
        <f t="shared" si="10"/>
        <v>1.464951156915427</v>
      </c>
    </row>
    <row r="32" spans="4:22" x14ac:dyDescent="0.3">
      <c r="D32" s="9">
        <v>9</v>
      </c>
      <c r="E32" s="7">
        <f t="shared" si="11"/>
        <v>1</v>
      </c>
      <c r="F32" s="7">
        <f t="shared" si="12"/>
        <v>0.32999999999999996</v>
      </c>
      <c r="G32" s="43">
        <f t="shared" si="5"/>
        <v>25.5</v>
      </c>
      <c r="H32" s="48">
        <f t="shared" si="0"/>
        <v>1.02</v>
      </c>
      <c r="I32" s="66">
        <f>G32/I$22</f>
        <v>0.6071428571428571</v>
      </c>
      <c r="J32" s="11">
        <f t="shared" si="6"/>
        <v>0.51</v>
      </c>
      <c r="M32" s="9">
        <v>9.0399999999999991</v>
      </c>
      <c r="N32" s="7">
        <v>2.202</v>
      </c>
      <c r="O32" s="7">
        <f t="shared" si="2"/>
        <v>11.241999999999999</v>
      </c>
      <c r="P32" s="19">
        <v>0.59799999999999998</v>
      </c>
      <c r="Q32" s="7">
        <f t="shared" si="3"/>
        <v>1.7600000000000016</v>
      </c>
      <c r="R32" s="20">
        <f t="shared" si="4"/>
        <v>0.63678188934353319</v>
      </c>
      <c r="S32" s="43">
        <f t="shared" si="7"/>
        <v>49.205873267454841</v>
      </c>
      <c r="T32" s="48">
        <f t="shared" si="8"/>
        <v>1.9682349306981937</v>
      </c>
      <c r="U32" s="66">
        <f t="shared" si="9"/>
        <v>1.1715684111298772</v>
      </c>
      <c r="V32" s="11">
        <f t="shared" si="10"/>
        <v>0.98411746534909683</v>
      </c>
    </row>
    <row r="33" spans="3:22" ht="17.25" thickBot="1" x14ac:dyDescent="0.35">
      <c r="D33" s="12">
        <v>10</v>
      </c>
      <c r="E33" s="13">
        <f t="shared" si="11"/>
        <v>0</v>
      </c>
      <c r="F33" s="13">
        <f t="shared" si="12"/>
        <v>0</v>
      </c>
      <c r="G33" s="44">
        <f t="shared" si="5"/>
        <v>0</v>
      </c>
      <c r="H33" s="49">
        <f t="shared" si="0"/>
        <v>0</v>
      </c>
      <c r="I33" s="67">
        <f>G33/I$22</f>
        <v>0</v>
      </c>
      <c r="J33" s="15">
        <f t="shared" si="6"/>
        <v>0</v>
      </c>
      <c r="M33" s="9">
        <v>10.11</v>
      </c>
      <c r="N33" s="7">
        <v>1.002</v>
      </c>
      <c r="O33" s="7">
        <f t="shared" si="2"/>
        <v>11.112</v>
      </c>
      <c r="P33" s="19">
        <v>0.255</v>
      </c>
      <c r="Q33" s="7">
        <f t="shared" si="3"/>
        <v>0.69000000000000128</v>
      </c>
      <c r="R33" s="20">
        <f t="shared" si="4"/>
        <v>0.29315172786177102</v>
      </c>
      <c r="S33" s="43">
        <f t="shared" si="7"/>
        <v>22.652633516591397</v>
      </c>
      <c r="T33" s="48">
        <f t="shared" si="8"/>
        <v>0.90610534066365589</v>
      </c>
      <c r="U33" s="66">
        <f t="shared" si="9"/>
        <v>0.53934841706169989</v>
      </c>
      <c r="V33" s="11">
        <f t="shared" si="10"/>
        <v>0.45305267033182794</v>
      </c>
    </row>
    <row r="34" spans="3:22" ht="17.25" thickBot="1" x14ac:dyDescent="0.35">
      <c r="M34" s="12">
        <v>10.81</v>
      </c>
      <c r="N34" s="13">
        <v>1.1999999999999999E-3</v>
      </c>
      <c r="O34" s="13">
        <f t="shared" si="2"/>
        <v>10.811200000000001</v>
      </c>
      <c r="P34" s="21">
        <v>0</v>
      </c>
      <c r="Q34" s="13">
        <f t="shared" si="3"/>
        <v>-9.9999999999997868E-3</v>
      </c>
      <c r="R34" s="22">
        <f t="shared" si="4"/>
        <v>3.6084800947165896E-4</v>
      </c>
      <c r="S34" s="44">
        <f t="shared" si="7"/>
        <v>2.7883709822810014E-2</v>
      </c>
      <c r="T34" s="49">
        <f t="shared" si="8"/>
        <v>1.1153483929124005E-3</v>
      </c>
      <c r="U34" s="67">
        <f t="shared" si="9"/>
        <v>6.63897852924048E-4</v>
      </c>
      <c r="V34" s="15">
        <f t="shared" si="10"/>
        <v>5.5767419645620024E-4</v>
      </c>
    </row>
    <row r="36" spans="3:22" ht="17.25" thickBot="1" x14ac:dyDescent="0.35">
      <c r="C36" s="4" t="s">
        <v>18</v>
      </c>
    </row>
    <row r="37" spans="3:22" x14ac:dyDescent="0.3">
      <c r="D37" s="196" t="s">
        <v>18</v>
      </c>
      <c r="E37" s="70" t="s">
        <v>17</v>
      </c>
      <c r="F37" s="194" t="s">
        <v>44</v>
      </c>
      <c r="G37" s="194"/>
      <c r="H37" s="194" t="s">
        <v>18</v>
      </c>
      <c r="I37" s="195"/>
      <c r="M37" t="s">
        <v>200</v>
      </c>
      <c r="N37">
        <v>10</v>
      </c>
      <c r="O37">
        <v>10</v>
      </c>
      <c r="P37" t="s">
        <v>203</v>
      </c>
    </row>
    <row r="38" spans="3:22" ht="17.25" thickBot="1" x14ac:dyDescent="0.35">
      <c r="D38" s="197"/>
      <c r="E38" s="32" t="s">
        <v>43</v>
      </c>
      <c r="F38" s="31" t="s">
        <v>45</v>
      </c>
      <c r="G38" s="31" t="s">
        <v>46</v>
      </c>
      <c r="H38" s="31" t="s">
        <v>45</v>
      </c>
      <c r="I38" s="69" t="s">
        <v>46</v>
      </c>
      <c r="M38" t="s">
        <v>201</v>
      </c>
      <c r="N38">
        <v>7</v>
      </c>
      <c r="O38">
        <v>5</v>
      </c>
      <c r="P38" t="s">
        <v>202</v>
      </c>
    </row>
    <row r="39" spans="3:22" x14ac:dyDescent="0.3">
      <c r="D39" s="36">
        <v>1</v>
      </c>
      <c r="E39" s="37">
        <f>($D39-1)*42</f>
        <v>0</v>
      </c>
      <c r="F39" s="37">
        <f>($D39-1)*42-21</f>
        <v>-21</v>
      </c>
      <c r="G39" s="37">
        <f>($D39-1)*42+21-1</f>
        <v>20</v>
      </c>
      <c r="H39" s="37">
        <f>INT(F39/42+0.5)</f>
        <v>0</v>
      </c>
      <c r="I39" s="17">
        <f>INT(G39/42+0.5)</f>
        <v>0</v>
      </c>
      <c r="M39" t="s">
        <v>201</v>
      </c>
      <c r="N39">
        <f>N37/N38</f>
        <v>1.4285714285714286</v>
      </c>
      <c r="O39">
        <f>O37/O38</f>
        <v>2</v>
      </c>
      <c r="P39" t="s">
        <v>203</v>
      </c>
    </row>
    <row r="40" spans="3:22" x14ac:dyDescent="0.3">
      <c r="D40" s="23">
        <v>2</v>
      </c>
      <c r="E40" s="7">
        <f t="shared" ref="E40:E45" si="13">($D40-1)*42</f>
        <v>42</v>
      </c>
      <c r="F40" s="7">
        <f t="shared" ref="F40:F45" si="14">($D40-1)*42-21</f>
        <v>21</v>
      </c>
      <c r="G40" s="7">
        <f t="shared" ref="G40:G45" si="15">($D40-1)*42+21-1</f>
        <v>62</v>
      </c>
      <c r="H40" s="7">
        <f t="shared" ref="H40:H45" si="16">INT(F40/42+0.5)</f>
        <v>1</v>
      </c>
      <c r="I40" s="8">
        <f t="shared" ref="I40:I45" si="17">INT(G40/42+0.5)</f>
        <v>1</v>
      </c>
      <c r="M40" t="s">
        <v>204</v>
      </c>
      <c r="N40">
        <f>255/N38</f>
        <v>36.428571428571431</v>
      </c>
      <c r="O40">
        <f>255/O38</f>
        <v>51</v>
      </c>
    </row>
    <row r="41" spans="3:22" x14ac:dyDescent="0.3">
      <c r="D41" s="23">
        <v>3</v>
      </c>
      <c r="E41" s="7">
        <f t="shared" si="13"/>
        <v>84</v>
      </c>
      <c r="F41" s="7">
        <f t="shared" si="14"/>
        <v>63</v>
      </c>
      <c r="G41" s="7">
        <f t="shared" si="15"/>
        <v>104</v>
      </c>
      <c r="H41" s="7">
        <f t="shared" si="16"/>
        <v>2</v>
      </c>
      <c r="I41" s="8">
        <f t="shared" si="17"/>
        <v>2</v>
      </c>
    </row>
    <row r="42" spans="3:22" x14ac:dyDescent="0.3">
      <c r="D42" s="23">
        <v>4</v>
      </c>
      <c r="E42" s="7">
        <f t="shared" si="13"/>
        <v>126</v>
      </c>
      <c r="F42" s="7">
        <f t="shared" si="14"/>
        <v>105</v>
      </c>
      <c r="G42" s="7">
        <f t="shared" si="15"/>
        <v>146</v>
      </c>
      <c r="H42" s="7">
        <f t="shared" si="16"/>
        <v>3</v>
      </c>
      <c r="I42" s="8">
        <f t="shared" si="17"/>
        <v>3</v>
      </c>
      <c r="M42">
        <v>1</v>
      </c>
      <c r="N42">
        <f t="shared" ref="N42:O46" si="18">N$37/N$38*$M42</f>
        <v>1.4285714285714286</v>
      </c>
      <c r="O42">
        <f t="shared" si="18"/>
        <v>2</v>
      </c>
    </row>
    <row r="43" spans="3:22" x14ac:dyDescent="0.3">
      <c r="D43" s="23">
        <v>5</v>
      </c>
      <c r="E43" s="7">
        <f t="shared" si="13"/>
        <v>168</v>
      </c>
      <c r="F43" s="7">
        <f t="shared" si="14"/>
        <v>147</v>
      </c>
      <c r="G43" s="7">
        <f t="shared" si="15"/>
        <v>188</v>
      </c>
      <c r="H43" s="7">
        <f t="shared" si="16"/>
        <v>4</v>
      </c>
      <c r="I43" s="8">
        <f t="shared" si="17"/>
        <v>4</v>
      </c>
      <c r="M43">
        <v>2</v>
      </c>
      <c r="N43">
        <f t="shared" si="18"/>
        <v>2.8571428571428572</v>
      </c>
      <c r="O43">
        <f t="shared" si="18"/>
        <v>4</v>
      </c>
    </row>
    <row r="44" spans="3:22" x14ac:dyDescent="0.3">
      <c r="D44" s="23">
        <v>6</v>
      </c>
      <c r="E44" s="7">
        <f t="shared" si="13"/>
        <v>210</v>
      </c>
      <c r="F44" s="7">
        <f t="shared" si="14"/>
        <v>189</v>
      </c>
      <c r="G44" s="7">
        <f t="shared" si="15"/>
        <v>230</v>
      </c>
      <c r="H44" s="7">
        <f t="shared" si="16"/>
        <v>5</v>
      </c>
      <c r="I44" s="8">
        <f t="shared" si="17"/>
        <v>5</v>
      </c>
      <c r="M44">
        <v>3</v>
      </c>
      <c r="N44">
        <f t="shared" si="18"/>
        <v>4.2857142857142856</v>
      </c>
      <c r="O44">
        <f t="shared" si="18"/>
        <v>6</v>
      </c>
    </row>
    <row r="45" spans="3:22" ht="17.25" thickBot="1" x14ac:dyDescent="0.35">
      <c r="D45" s="30">
        <v>7</v>
      </c>
      <c r="E45" s="13">
        <f t="shared" si="13"/>
        <v>252</v>
      </c>
      <c r="F45" s="13">
        <f t="shared" si="14"/>
        <v>231</v>
      </c>
      <c r="G45" s="13">
        <f t="shared" si="15"/>
        <v>272</v>
      </c>
      <c r="H45" s="13">
        <f t="shared" si="16"/>
        <v>6</v>
      </c>
      <c r="I45" s="18">
        <f t="shared" si="17"/>
        <v>6</v>
      </c>
      <c r="M45">
        <v>4</v>
      </c>
      <c r="N45">
        <f t="shared" si="18"/>
        <v>5.7142857142857144</v>
      </c>
      <c r="O45">
        <f t="shared" si="18"/>
        <v>8</v>
      </c>
    </row>
    <row r="46" spans="3:22" x14ac:dyDescent="0.3">
      <c r="D46" s="71" t="s">
        <v>47</v>
      </c>
      <c r="M46">
        <v>5</v>
      </c>
      <c r="N46">
        <f t="shared" si="18"/>
        <v>7.1428571428571432</v>
      </c>
      <c r="O46">
        <f t="shared" si="18"/>
        <v>10</v>
      </c>
    </row>
    <row r="47" spans="3:22" ht="17.25" thickBot="1" x14ac:dyDescent="0.35">
      <c r="M47">
        <v>6</v>
      </c>
      <c r="N47">
        <f>N$37/N$38*$M47</f>
        <v>8.5714285714285712</v>
      </c>
    </row>
    <row r="48" spans="3:22" x14ac:dyDescent="0.3">
      <c r="D48" s="196" t="s">
        <v>49</v>
      </c>
      <c r="E48" s="40" t="s">
        <v>48</v>
      </c>
      <c r="F48" s="40" t="s">
        <v>50</v>
      </c>
      <c r="G48" s="41" t="s">
        <v>51</v>
      </c>
      <c r="M48">
        <v>7</v>
      </c>
      <c r="N48">
        <f>N$37/N$38*$M48</f>
        <v>10</v>
      </c>
    </row>
    <row r="49" spans="4:17" ht="17.25" thickBot="1" x14ac:dyDescent="0.35">
      <c r="D49" s="197"/>
      <c r="E49" s="68" t="s">
        <v>52</v>
      </c>
      <c r="F49" s="31">
        <v>0.5</v>
      </c>
      <c r="G49" s="69" t="s">
        <v>53</v>
      </c>
      <c r="M49" s="178" t="s">
        <v>200</v>
      </c>
      <c r="N49">
        <v>10</v>
      </c>
      <c r="O49">
        <v>10</v>
      </c>
      <c r="P49">
        <v>10</v>
      </c>
      <c r="Q49" t="s">
        <v>203</v>
      </c>
    </row>
    <row r="50" spans="4:17" x14ac:dyDescent="0.3">
      <c r="D50" s="16">
        <v>0</v>
      </c>
      <c r="E50" s="37">
        <f t="shared" ref="E50:E81" si="19">D50/42</f>
        <v>0</v>
      </c>
      <c r="F50" s="46">
        <f>E50+0.5</f>
        <v>0.5</v>
      </c>
      <c r="G50" s="72">
        <f>INT(F50)</f>
        <v>0</v>
      </c>
      <c r="M50" s="178" t="s">
        <v>201</v>
      </c>
      <c r="N50">
        <v>7</v>
      </c>
      <c r="O50">
        <v>5</v>
      </c>
      <c r="P50">
        <v>5</v>
      </c>
      <c r="Q50" t="s">
        <v>202</v>
      </c>
    </row>
    <row r="51" spans="4:17" x14ac:dyDescent="0.3">
      <c r="D51" s="9">
        <v>5</v>
      </c>
      <c r="E51" s="20">
        <f t="shared" si="19"/>
        <v>0.11904761904761904</v>
      </c>
      <c r="F51" s="10">
        <f t="shared" ref="F51:F101" si="20">E51+0.5</f>
        <v>0.61904761904761907</v>
      </c>
      <c r="G51" s="73">
        <f t="shared" ref="G51:G101" si="21">INT(F51)</f>
        <v>0</v>
      </c>
      <c r="M51" s="178" t="s">
        <v>205</v>
      </c>
      <c r="N51">
        <f>255/(N50-1)</f>
        <v>42.5</v>
      </c>
      <c r="O51">
        <f>255/(O50-1)</f>
        <v>63.75</v>
      </c>
      <c r="P51">
        <f>255/(P50-1)</f>
        <v>63.75</v>
      </c>
    </row>
    <row r="52" spans="4:17" x14ac:dyDescent="0.3">
      <c r="D52" s="9">
        <v>10</v>
      </c>
      <c r="E52" s="20">
        <f t="shared" si="19"/>
        <v>0.23809523809523808</v>
      </c>
      <c r="F52" s="10">
        <f t="shared" si="20"/>
        <v>0.73809523809523814</v>
      </c>
      <c r="G52" s="73">
        <f t="shared" si="21"/>
        <v>0</v>
      </c>
    </row>
    <row r="53" spans="4:17" x14ac:dyDescent="0.3">
      <c r="D53" s="9">
        <v>15</v>
      </c>
      <c r="E53" s="20">
        <f t="shared" si="19"/>
        <v>0.35714285714285715</v>
      </c>
      <c r="F53" s="10">
        <f t="shared" si="20"/>
        <v>0.85714285714285721</v>
      </c>
      <c r="G53" s="73">
        <f t="shared" si="21"/>
        <v>0</v>
      </c>
      <c r="M53">
        <v>0</v>
      </c>
      <c r="N53">
        <f>$M53/N$51+0.5</f>
        <v>0.5</v>
      </c>
      <c r="O53">
        <f>$M53/O$51+0.5+1</f>
        <v>1.5</v>
      </c>
      <c r="P53">
        <f>(255-$M53)/P$51+0.5+1</f>
        <v>5.5</v>
      </c>
    </row>
    <row r="54" spans="4:17" x14ac:dyDescent="0.3">
      <c r="D54" s="9">
        <v>20</v>
      </c>
      <c r="E54" s="20">
        <f t="shared" si="19"/>
        <v>0.47619047619047616</v>
      </c>
      <c r="F54" s="10">
        <f t="shared" si="20"/>
        <v>0.97619047619047616</v>
      </c>
      <c r="G54" s="73">
        <f t="shared" si="21"/>
        <v>0</v>
      </c>
      <c r="M54">
        <v>10</v>
      </c>
      <c r="N54">
        <f t="shared" ref="N54:N79" si="22">$M54/N$51+0.5</f>
        <v>0.73529411764705888</v>
      </c>
      <c r="O54">
        <f t="shared" ref="O54:O79" si="23">$M54/O$51+0.5+1</f>
        <v>1.6568627450980391</v>
      </c>
      <c r="P54">
        <f t="shared" ref="P54:P79" si="24">(255-$M54)/P$51+0.5+1</f>
        <v>5.3431372549019613</v>
      </c>
    </row>
    <row r="55" spans="4:17" x14ac:dyDescent="0.3">
      <c r="D55" s="9">
        <v>25</v>
      </c>
      <c r="E55" s="20">
        <f t="shared" si="19"/>
        <v>0.59523809523809523</v>
      </c>
      <c r="F55" s="10">
        <f t="shared" si="20"/>
        <v>1.0952380952380953</v>
      </c>
      <c r="G55" s="73">
        <f t="shared" si="21"/>
        <v>1</v>
      </c>
      <c r="M55">
        <v>20</v>
      </c>
      <c r="N55">
        <f t="shared" si="22"/>
        <v>0.97058823529411764</v>
      </c>
      <c r="O55">
        <f t="shared" si="23"/>
        <v>1.8137254901960784</v>
      </c>
      <c r="P55">
        <f t="shared" si="24"/>
        <v>5.1862745098039209</v>
      </c>
    </row>
    <row r="56" spans="4:17" x14ac:dyDescent="0.3">
      <c r="D56" s="9">
        <v>30</v>
      </c>
      <c r="E56" s="20">
        <f t="shared" si="19"/>
        <v>0.7142857142857143</v>
      </c>
      <c r="F56" s="10">
        <f t="shared" si="20"/>
        <v>1.2142857142857144</v>
      </c>
      <c r="G56" s="73">
        <f t="shared" si="21"/>
        <v>1</v>
      </c>
      <c r="M56">
        <v>30</v>
      </c>
      <c r="N56">
        <f t="shared" si="22"/>
        <v>1.2058823529411766</v>
      </c>
      <c r="O56">
        <f t="shared" si="23"/>
        <v>1.9705882352941178</v>
      </c>
      <c r="P56">
        <f t="shared" si="24"/>
        <v>5.0294117647058822</v>
      </c>
    </row>
    <row r="57" spans="4:17" x14ac:dyDescent="0.3">
      <c r="D57" s="9">
        <v>35</v>
      </c>
      <c r="E57" s="20">
        <f t="shared" si="19"/>
        <v>0.83333333333333337</v>
      </c>
      <c r="F57" s="10">
        <f t="shared" si="20"/>
        <v>1.3333333333333335</v>
      </c>
      <c r="G57" s="73">
        <f t="shared" si="21"/>
        <v>1</v>
      </c>
      <c r="M57">
        <v>40</v>
      </c>
      <c r="N57">
        <f t="shared" si="22"/>
        <v>1.4411764705882353</v>
      </c>
      <c r="O57">
        <f t="shared" si="23"/>
        <v>2.1274509803921569</v>
      </c>
      <c r="P57">
        <f t="shared" si="24"/>
        <v>4.8725490196078436</v>
      </c>
    </row>
    <row r="58" spans="4:17" x14ac:dyDescent="0.3">
      <c r="D58" s="9">
        <v>40</v>
      </c>
      <c r="E58" s="20">
        <f t="shared" si="19"/>
        <v>0.95238095238095233</v>
      </c>
      <c r="F58" s="10">
        <f t="shared" si="20"/>
        <v>1.4523809523809523</v>
      </c>
      <c r="G58" s="73">
        <f t="shared" si="21"/>
        <v>1</v>
      </c>
      <c r="M58">
        <v>50</v>
      </c>
      <c r="N58">
        <f t="shared" si="22"/>
        <v>1.6764705882352942</v>
      </c>
      <c r="O58">
        <f t="shared" si="23"/>
        <v>2.284313725490196</v>
      </c>
      <c r="P58">
        <f t="shared" si="24"/>
        <v>4.715686274509804</v>
      </c>
    </row>
    <row r="59" spans="4:17" x14ac:dyDescent="0.3">
      <c r="D59" s="9">
        <v>45</v>
      </c>
      <c r="E59" s="20">
        <f t="shared" si="19"/>
        <v>1.0714285714285714</v>
      </c>
      <c r="F59" s="10">
        <f t="shared" si="20"/>
        <v>1.5714285714285714</v>
      </c>
      <c r="G59" s="73">
        <f t="shared" si="21"/>
        <v>1</v>
      </c>
      <c r="M59">
        <v>60</v>
      </c>
      <c r="N59">
        <f t="shared" si="22"/>
        <v>1.911764705882353</v>
      </c>
      <c r="O59">
        <f t="shared" si="23"/>
        <v>2.4411764705882355</v>
      </c>
      <c r="P59">
        <f t="shared" si="24"/>
        <v>4.5588235294117645</v>
      </c>
    </row>
    <row r="60" spans="4:17" x14ac:dyDescent="0.3">
      <c r="D60" s="9">
        <v>50</v>
      </c>
      <c r="E60" s="20">
        <f t="shared" si="19"/>
        <v>1.1904761904761905</v>
      </c>
      <c r="F60" s="10">
        <f t="shared" si="20"/>
        <v>1.6904761904761905</v>
      </c>
      <c r="G60" s="73">
        <f t="shared" si="21"/>
        <v>1</v>
      </c>
      <c r="M60">
        <v>70</v>
      </c>
      <c r="N60">
        <f t="shared" si="22"/>
        <v>2.1470588235294117</v>
      </c>
      <c r="O60">
        <f t="shared" si="23"/>
        <v>2.5980392156862746</v>
      </c>
      <c r="P60">
        <f t="shared" si="24"/>
        <v>4.4019607843137258</v>
      </c>
    </row>
    <row r="61" spans="4:17" x14ac:dyDescent="0.3">
      <c r="D61" s="9">
        <v>55</v>
      </c>
      <c r="E61" s="20">
        <f t="shared" si="19"/>
        <v>1.3095238095238095</v>
      </c>
      <c r="F61" s="10">
        <f t="shared" si="20"/>
        <v>1.8095238095238095</v>
      </c>
      <c r="G61" s="73">
        <f t="shared" si="21"/>
        <v>1</v>
      </c>
      <c r="M61">
        <v>80</v>
      </c>
      <c r="N61">
        <f t="shared" si="22"/>
        <v>2.3823529411764706</v>
      </c>
      <c r="O61">
        <f t="shared" si="23"/>
        <v>2.7549019607843137</v>
      </c>
      <c r="P61">
        <f t="shared" si="24"/>
        <v>4.2450980392156863</v>
      </c>
    </row>
    <row r="62" spans="4:17" x14ac:dyDescent="0.3">
      <c r="D62" s="9">
        <v>60</v>
      </c>
      <c r="E62" s="20">
        <f t="shared" si="19"/>
        <v>1.4285714285714286</v>
      </c>
      <c r="F62" s="10">
        <f t="shared" si="20"/>
        <v>1.9285714285714286</v>
      </c>
      <c r="G62" s="73">
        <f t="shared" si="21"/>
        <v>1</v>
      </c>
      <c r="M62">
        <v>90</v>
      </c>
      <c r="N62">
        <f t="shared" si="22"/>
        <v>2.6176470588235294</v>
      </c>
      <c r="O62">
        <f t="shared" si="23"/>
        <v>2.9117647058823533</v>
      </c>
      <c r="P62">
        <f t="shared" si="24"/>
        <v>4.0882352941176467</v>
      </c>
    </row>
    <row r="63" spans="4:17" x14ac:dyDescent="0.3">
      <c r="D63" s="9">
        <v>65</v>
      </c>
      <c r="E63" s="20">
        <f t="shared" si="19"/>
        <v>1.5476190476190477</v>
      </c>
      <c r="F63" s="10">
        <f t="shared" si="20"/>
        <v>2.0476190476190474</v>
      </c>
      <c r="G63" s="73">
        <f t="shared" si="21"/>
        <v>2</v>
      </c>
      <c r="M63">
        <v>100</v>
      </c>
      <c r="N63">
        <f t="shared" si="22"/>
        <v>2.8529411764705883</v>
      </c>
      <c r="O63">
        <f t="shared" si="23"/>
        <v>3.0686274509803919</v>
      </c>
      <c r="P63">
        <f t="shared" si="24"/>
        <v>3.9313725490196076</v>
      </c>
    </row>
    <row r="64" spans="4:17" x14ac:dyDescent="0.3">
      <c r="D64" s="9">
        <v>70</v>
      </c>
      <c r="E64" s="20">
        <f t="shared" si="19"/>
        <v>1.6666666666666667</v>
      </c>
      <c r="F64" s="10">
        <f t="shared" si="20"/>
        <v>2.166666666666667</v>
      </c>
      <c r="G64" s="73">
        <f t="shared" si="21"/>
        <v>2</v>
      </c>
      <c r="M64">
        <v>110</v>
      </c>
      <c r="N64">
        <f t="shared" si="22"/>
        <v>3.0882352941176472</v>
      </c>
      <c r="O64">
        <f t="shared" si="23"/>
        <v>3.2254901960784315</v>
      </c>
      <c r="P64">
        <f t="shared" si="24"/>
        <v>3.7745098039215685</v>
      </c>
    </row>
    <row r="65" spans="4:16" x14ac:dyDescent="0.3">
      <c r="D65" s="9">
        <v>75</v>
      </c>
      <c r="E65" s="20">
        <f t="shared" si="19"/>
        <v>1.7857142857142858</v>
      </c>
      <c r="F65" s="10">
        <f t="shared" si="20"/>
        <v>2.2857142857142856</v>
      </c>
      <c r="G65" s="73">
        <f t="shared" si="21"/>
        <v>2</v>
      </c>
      <c r="M65">
        <v>120</v>
      </c>
      <c r="N65">
        <f t="shared" si="22"/>
        <v>3.3235294117647061</v>
      </c>
      <c r="O65">
        <f t="shared" si="23"/>
        <v>3.3823529411764706</v>
      </c>
      <c r="P65">
        <f t="shared" si="24"/>
        <v>3.6176470588235294</v>
      </c>
    </row>
    <row r="66" spans="4:16" x14ac:dyDescent="0.3">
      <c r="D66" s="9">
        <v>80</v>
      </c>
      <c r="E66" s="20">
        <f t="shared" si="19"/>
        <v>1.9047619047619047</v>
      </c>
      <c r="F66" s="10">
        <f t="shared" si="20"/>
        <v>2.4047619047619047</v>
      </c>
      <c r="G66" s="73">
        <f t="shared" si="21"/>
        <v>2</v>
      </c>
      <c r="M66">
        <v>130</v>
      </c>
      <c r="N66">
        <f t="shared" si="22"/>
        <v>3.5588235294117645</v>
      </c>
      <c r="O66">
        <f t="shared" si="23"/>
        <v>3.5392156862745097</v>
      </c>
      <c r="P66">
        <f t="shared" si="24"/>
        <v>3.4607843137254903</v>
      </c>
    </row>
    <row r="67" spans="4:16" x14ac:dyDescent="0.3">
      <c r="D67" s="9">
        <v>85</v>
      </c>
      <c r="E67" s="20">
        <f t="shared" si="19"/>
        <v>2.0238095238095237</v>
      </c>
      <c r="F67" s="10">
        <f t="shared" si="20"/>
        <v>2.5238095238095237</v>
      </c>
      <c r="G67" s="73">
        <f t="shared" si="21"/>
        <v>2</v>
      </c>
      <c r="M67">
        <v>140</v>
      </c>
      <c r="N67">
        <f t="shared" si="22"/>
        <v>3.7941176470588234</v>
      </c>
      <c r="O67">
        <f t="shared" si="23"/>
        <v>3.6960784313725492</v>
      </c>
      <c r="P67">
        <f t="shared" si="24"/>
        <v>3.3039215686274508</v>
      </c>
    </row>
    <row r="68" spans="4:16" x14ac:dyDescent="0.3">
      <c r="D68" s="9">
        <v>90</v>
      </c>
      <c r="E68" s="20">
        <f t="shared" si="19"/>
        <v>2.1428571428571428</v>
      </c>
      <c r="F68" s="10">
        <f t="shared" si="20"/>
        <v>2.6428571428571428</v>
      </c>
      <c r="G68" s="73">
        <f t="shared" si="21"/>
        <v>2</v>
      </c>
      <c r="M68">
        <v>150</v>
      </c>
      <c r="N68">
        <f t="shared" si="22"/>
        <v>4.0294117647058822</v>
      </c>
      <c r="O68">
        <f t="shared" si="23"/>
        <v>3.8529411764705883</v>
      </c>
      <c r="P68">
        <f t="shared" si="24"/>
        <v>3.1470588235294117</v>
      </c>
    </row>
    <row r="69" spans="4:16" x14ac:dyDescent="0.3">
      <c r="D69" s="9">
        <v>95</v>
      </c>
      <c r="E69" s="20">
        <f t="shared" si="19"/>
        <v>2.2619047619047619</v>
      </c>
      <c r="F69" s="10">
        <f t="shared" si="20"/>
        <v>2.7619047619047619</v>
      </c>
      <c r="G69" s="73">
        <f t="shared" si="21"/>
        <v>2</v>
      </c>
      <c r="M69">
        <v>160</v>
      </c>
      <c r="N69">
        <f t="shared" si="22"/>
        <v>4.2647058823529411</v>
      </c>
      <c r="O69">
        <f t="shared" si="23"/>
        <v>4.0098039215686274</v>
      </c>
      <c r="P69">
        <f t="shared" si="24"/>
        <v>2.9901960784313726</v>
      </c>
    </row>
    <row r="70" spans="4:16" x14ac:dyDescent="0.3">
      <c r="D70" s="9">
        <v>100</v>
      </c>
      <c r="E70" s="20">
        <f t="shared" si="19"/>
        <v>2.3809523809523809</v>
      </c>
      <c r="F70" s="10">
        <f t="shared" si="20"/>
        <v>2.8809523809523809</v>
      </c>
      <c r="G70" s="73">
        <f t="shared" si="21"/>
        <v>2</v>
      </c>
      <c r="M70">
        <v>170</v>
      </c>
      <c r="N70">
        <f t="shared" si="22"/>
        <v>4.5</v>
      </c>
      <c r="O70">
        <f t="shared" si="23"/>
        <v>4.1666666666666661</v>
      </c>
      <c r="P70">
        <f t="shared" si="24"/>
        <v>2.833333333333333</v>
      </c>
    </row>
    <row r="71" spans="4:16" x14ac:dyDescent="0.3">
      <c r="D71" s="9">
        <v>105</v>
      </c>
      <c r="E71" s="20">
        <f t="shared" si="19"/>
        <v>2.5</v>
      </c>
      <c r="F71" s="10">
        <f t="shared" si="20"/>
        <v>3</v>
      </c>
      <c r="G71" s="73">
        <f t="shared" si="21"/>
        <v>3</v>
      </c>
      <c r="M71">
        <v>180</v>
      </c>
      <c r="N71">
        <f t="shared" si="22"/>
        <v>4.7352941176470589</v>
      </c>
      <c r="O71">
        <f t="shared" si="23"/>
        <v>4.3235294117647065</v>
      </c>
      <c r="P71">
        <f t="shared" si="24"/>
        <v>2.6764705882352944</v>
      </c>
    </row>
    <row r="72" spans="4:16" x14ac:dyDescent="0.3">
      <c r="D72" s="9">
        <v>110</v>
      </c>
      <c r="E72" s="20">
        <f t="shared" si="19"/>
        <v>2.6190476190476191</v>
      </c>
      <c r="F72" s="10">
        <f t="shared" si="20"/>
        <v>3.1190476190476191</v>
      </c>
      <c r="G72" s="73">
        <f t="shared" si="21"/>
        <v>3</v>
      </c>
      <c r="M72">
        <v>190</v>
      </c>
      <c r="N72">
        <f t="shared" si="22"/>
        <v>4.9705882352941178</v>
      </c>
      <c r="O72">
        <f t="shared" si="23"/>
        <v>4.4803921568627452</v>
      </c>
      <c r="P72">
        <f t="shared" si="24"/>
        <v>2.5196078431372548</v>
      </c>
    </row>
    <row r="73" spans="4:16" x14ac:dyDescent="0.3">
      <c r="D73" s="9">
        <v>115</v>
      </c>
      <c r="E73" s="20">
        <f t="shared" si="19"/>
        <v>2.7380952380952381</v>
      </c>
      <c r="F73" s="10">
        <f t="shared" si="20"/>
        <v>3.2380952380952381</v>
      </c>
      <c r="G73" s="73">
        <f t="shared" si="21"/>
        <v>3</v>
      </c>
      <c r="M73">
        <v>200</v>
      </c>
      <c r="N73">
        <f t="shared" si="22"/>
        <v>5.2058823529411766</v>
      </c>
      <c r="O73">
        <f t="shared" si="23"/>
        <v>4.6372549019607838</v>
      </c>
      <c r="P73">
        <f t="shared" si="24"/>
        <v>2.3627450980392157</v>
      </c>
    </row>
    <row r="74" spans="4:16" x14ac:dyDescent="0.3">
      <c r="D74" s="9">
        <v>120</v>
      </c>
      <c r="E74" s="20">
        <f t="shared" si="19"/>
        <v>2.8571428571428572</v>
      </c>
      <c r="F74" s="10">
        <f t="shared" si="20"/>
        <v>3.3571428571428572</v>
      </c>
      <c r="G74" s="73">
        <f t="shared" si="21"/>
        <v>3</v>
      </c>
      <c r="M74">
        <v>210</v>
      </c>
      <c r="N74">
        <f t="shared" si="22"/>
        <v>5.4411764705882355</v>
      </c>
      <c r="O74">
        <f t="shared" si="23"/>
        <v>4.7941176470588234</v>
      </c>
      <c r="P74">
        <f t="shared" si="24"/>
        <v>2.2058823529411766</v>
      </c>
    </row>
    <row r="75" spans="4:16" x14ac:dyDescent="0.3">
      <c r="D75" s="9">
        <v>125</v>
      </c>
      <c r="E75" s="20">
        <f t="shared" si="19"/>
        <v>2.9761904761904763</v>
      </c>
      <c r="F75" s="10">
        <f t="shared" si="20"/>
        <v>3.4761904761904763</v>
      </c>
      <c r="G75" s="73">
        <f t="shared" si="21"/>
        <v>3</v>
      </c>
      <c r="M75">
        <v>220</v>
      </c>
      <c r="N75">
        <f t="shared" si="22"/>
        <v>5.6764705882352944</v>
      </c>
      <c r="O75">
        <f t="shared" si="23"/>
        <v>4.9509803921568629</v>
      </c>
      <c r="P75">
        <f t="shared" si="24"/>
        <v>2.0490196078431371</v>
      </c>
    </row>
    <row r="76" spans="4:16" x14ac:dyDescent="0.3">
      <c r="D76" s="9">
        <v>130</v>
      </c>
      <c r="E76" s="20">
        <f t="shared" si="19"/>
        <v>3.0952380952380953</v>
      </c>
      <c r="F76" s="10">
        <f t="shared" si="20"/>
        <v>3.5952380952380953</v>
      </c>
      <c r="G76" s="73">
        <f t="shared" si="21"/>
        <v>3</v>
      </c>
      <c r="M76">
        <v>230</v>
      </c>
      <c r="N76">
        <f t="shared" si="22"/>
        <v>5.9117647058823533</v>
      </c>
      <c r="O76">
        <f t="shared" si="23"/>
        <v>5.1078431372549016</v>
      </c>
      <c r="P76">
        <f t="shared" si="24"/>
        <v>1.892156862745098</v>
      </c>
    </row>
    <row r="77" spans="4:16" x14ac:dyDescent="0.3">
      <c r="D77" s="9">
        <v>135</v>
      </c>
      <c r="E77" s="20">
        <f t="shared" si="19"/>
        <v>3.2142857142857144</v>
      </c>
      <c r="F77" s="10">
        <f t="shared" si="20"/>
        <v>3.7142857142857144</v>
      </c>
      <c r="G77" s="73">
        <f t="shared" si="21"/>
        <v>3</v>
      </c>
      <c r="M77">
        <v>240</v>
      </c>
      <c r="N77">
        <f t="shared" si="22"/>
        <v>6.1470588235294121</v>
      </c>
      <c r="O77">
        <f t="shared" si="23"/>
        <v>5.2647058823529411</v>
      </c>
      <c r="P77">
        <f t="shared" si="24"/>
        <v>1.7352941176470589</v>
      </c>
    </row>
    <row r="78" spans="4:16" x14ac:dyDescent="0.3">
      <c r="D78" s="9">
        <v>140</v>
      </c>
      <c r="E78" s="20">
        <f t="shared" si="19"/>
        <v>3.3333333333333335</v>
      </c>
      <c r="F78" s="10">
        <f t="shared" si="20"/>
        <v>3.8333333333333335</v>
      </c>
      <c r="G78" s="73">
        <f t="shared" si="21"/>
        <v>3</v>
      </c>
      <c r="M78">
        <v>250</v>
      </c>
      <c r="N78">
        <f t="shared" si="22"/>
        <v>6.382352941176471</v>
      </c>
      <c r="O78">
        <f t="shared" si="23"/>
        <v>5.4215686274509807</v>
      </c>
      <c r="P78">
        <f t="shared" si="24"/>
        <v>1.5784313725490196</v>
      </c>
    </row>
    <row r="79" spans="4:16" x14ac:dyDescent="0.3">
      <c r="D79" s="9">
        <v>145</v>
      </c>
      <c r="E79" s="20">
        <f t="shared" si="19"/>
        <v>3.4523809523809526</v>
      </c>
      <c r="F79" s="10">
        <f t="shared" si="20"/>
        <v>3.9523809523809526</v>
      </c>
      <c r="G79" s="73">
        <f t="shared" si="21"/>
        <v>3</v>
      </c>
      <c r="M79">
        <v>255</v>
      </c>
      <c r="N79">
        <f t="shared" si="22"/>
        <v>6.5</v>
      </c>
      <c r="O79">
        <f t="shared" si="23"/>
        <v>5.5</v>
      </c>
      <c r="P79">
        <f t="shared" si="24"/>
        <v>1.5</v>
      </c>
    </row>
    <row r="80" spans="4:16" x14ac:dyDescent="0.3">
      <c r="D80" s="9">
        <v>150</v>
      </c>
      <c r="E80" s="20">
        <f t="shared" si="19"/>
        <v>3.5714285714285716</v>
      </c>
      <c r="F80" s="10">
        <f t="shared" si="20"/>
        <v>4.0714285714285712</v>
      </c>
      <c r="G80" s="73">
        <f t="shared" si="21"/>
        <v>4</v>
      </c>
    </row>
    <row r="81" spans="4:7" x14ac:dyDescent="0.3">
      <c r="D81" s="9">
        <v>155</v>
      </c>
      <c r="E81" s="20">
        <f t="shared" si="19"/>
        <v>3.6904761904761907</v>
      </c>
      <c r="F81" s="10">
        <f t="shared" si="20"/>
        <v>4.1904761904761907</v>
      </c>
      <c r="G81" s="73">
        <f t="shared" si="21"/>
        <v>4</v>
      </c>
    </row>
    <row r="82" spans="4:7" x14ac:dyDescent="0.3">
      <c r="D82" s="9">
        <v>160</v>
      </c>
      <c r="E82" s="20">
        <f t="shared" ref="E82:E101" si="25">D82/42</f>
        <v>3.8095238095238093</v>
      </c>
      <c r="F82" s="10">
        <f t="shared" si="20"/>
        <v>4.3095238095238093</v>
      </c>
      <c r="G82" s="73">
        <f t="shared" si="21"/>
        <v>4</v>
      </c>
    </row>
    <row r="83" spans="4:7" x14ac:dyDescent="0.3">
      <c r="D83" s="9">
        <v>165</v>
      </c>
      <c r="E83" s="20">
        <f t="shared" si="25"/>
        <v>3.9285714285714284</v>
      </c>
      <c r="F83" s="10">
        <f t="shared" si="20"/>
        <v>4.4285714285714288</v>
      </c>
      <c r="G83" s="73">
        <f t="shared" si="21"/>
        <v>4</v>
      </c>
    </row>
    <row r="84" spans="4:7" x14ac:dyDescent="0.3">
      <c r="D84" s="9">
        <v>170</v>
      </c>
      <c r="E84" s="20">
        <f t="shared" si="25"/>
        <v>4.0476190476190474</v>
      </c>
      <c r="F84" s="10">
        <f t="shared" si="20"/>
        <v>4.5476190476190474</v>
      </c>
      <c r="G84" s="73">
        <f t="shared" si="21"/>
        <v>4</v>
      </c>
    </row>
    <row r="85" spans="4:7" x14ac:dyDescent="0.3">
      <c r="D85" s="9">
        <v>175</v>
      </c>
      <c r="E85" s="20">
        <f t="shared" si="25"/>
        <v>4.166666666666667</v>
      </c>
      <c r="F85" s="10">
        <f t="shared" si="20"/>
        <v>4.666666666666667</v>
      </c>
      <c r="G85" s="73">
        <f t="shared" si="21"/>
        <v>4</v>
      </c>
    </row>
    <row r="86" spans="4:7" x14ac:dyDescent="0.3">
      <c r="D86" s="9">
        <v>180</v>
      </c>
      <c r="E86" s="20">
        <f t="shared" si="25"/>
        <v>4.2857142857142856</v>
      </c>
      <c r="F86" s="10">
        <f t="shared" si="20"/>
        <v>4.7857142857142856</v>
      </c>
      <c r="G86" s="73">
        <f t="shared" si="21"/>
        <v>4</v>
      </c>
    </row>
    <row r="87" spans="4:7" x14ac:dyDescent="0.3">
      <c r="D87" s="9">
        <v>185</v>
      </c>
      <c r="E87" s="20">
        <f t="shared" si="25"/>
        <v>4.4047619047619051</v>
      </c>
      <c r="F87" s="10">
        <f t="shared" si="20"/>
        <v>4.9047619047619051</v>
      </c>
      <c r="G87" s="73">
        <f t="shared" si="21"/>
        <v>4</v>
      </c>
    </row>
    <row r="88" spans="4:7" x14ac:dyDescent="0.3">
      <c r="D88" s="9">
        <v>190</v>
      </c>
      <c r="E88" s="20">
        <f t="shared" si="25"/>
        <v>4.5238095238095237</v>
      </c>
      <c r="F88" s="10">
        <f t="shared" si="20"/>
        <v>5.0238095238095237</v>
      </c>
      <c r="G88" s="73">
        <f t="shared" si="21"/>
        <v>5</v>
      </c>
    </row>
    <row r="89" spans="4:7" x14ac:dyDescent="0.3">
      <c r="D89" s="9">
        <v>195</v>
      </c>
      <c r="E89" s="20">
        <f t="shared" si="25"/>
        <v>4.6428571428571432</v>
      </c>
      <c r="F89" s="10">
        <f t="shared" si="20"/>
        <v>5.1428571428571432</v>
      </c>
      <c r="G89" s="73">
        <f t="shared" si="21"/>
        <v>5</v>
      </c>
    </row>
    <row r="90" spans="4:7" x14ac:dyDescent="0.3">
      <c r="D90" s="9">
        <v>200</v>
      </c>
      <c r="E90" s="20">
        <f t="shared" si="25"/>
        <v>4.7619047619047619</v>
      </c>
      <c r="F90" s="10">
        <f t="shared" si="20"/>
        <v>5.2619047619047619</v>
      </c>
      <c r="G90" s="73">
        <f t="shared" si="21"/>
        <v>5</v>
      </c>
    </row>
    <row r="91" spans="4:7" x14ac:dyDescent="0.3">
      <c r="D91" s="9">
        <v>205</v>
      </c>
      <c r="E91" s="20">
        <f t="shared" si="25"/>
        <v>4.8809523809523814</v>
      </c>
      <c r="F91" s="10">
        <f t="shared" si="20"/>
        <v>5.3809523809523814</v>
      </c>
      <c r="G91" s="73">
        <f t="shared" si="21"/>
        <v>5</v>
      </c>
    </row>
    <row r="92" spans="4:7" x14ac:dyDescent="0.3">
      <c r="D92" s="9">
        <v>210</v>
      </c>
      <c r="E92" s="20">
        <f t="shared" si="25"/>
        <v>5</v>
      </c>
      <c r="F92" s="10">
        <f t="shared" si="20"/>
        <v>5.5</v>
      </c>
      <c r="G92" s="73">
        <f t="shared" si="21"/>
        <v>5</v>
      </c>
    </row>
    <row r="93" spans="4:7" x14ac:dyDescent="0.3">
      <c r="D93" s="9">
        <v>215</v>
      </c>
      <c r="E93" s="20">
        <f t="shared" si="25"/>
        <v>5.1190476190476186</v>
      </c>
      <c r="F93" s="10">
        <f t="shared" si="20"/>
        <v>5.6190476190476186</v>
      </c>
      <c r="G93" s="73">
        <f t="shared" si="21"/>
        <v>5</v>
      </c>
    </row>
    <row r="94" spans="4:7" x14ac:dyDescent="0.3">
      <c r="D94" s="9">
        <v>220</v>
      </c>
      <c r="E94" s="20">
        <f t="shared" si="25"/>
        <v>5.2380952380952381</v>
      </c>
      <c r="F94" s="10">
        <f t="shared" si="20"/>
        <v>5.7380952380952381</v>
      </c>
      <c r="G94" s="73">
        <f t="shared" si="21"/>
        <v>5</v>
      </c>
    </row>
    <row r="95" spans="4:7" x14ac:dyDescent="0.3">
      <c r="D95" s="9">
        <v>225</v>
      </c>
      <c r="E95" s="20">
        <f t="shared" si="25"/>
        <v>5.3571428571428568</v>
      </c>
      <c r="F95" s="10">
        <f t="shared" si="20"/>
        <v>5.8571428571428568</v>
      </c>
      <c r="G95" s="73">
        <f t="shared" si="21"/>
        <v>5</v>
      </c>
    </row>
    <row r="96" spans="4:7" x14ac:dyDescent="0.3">
      <c r="D96" s="9">
        <v>230</v>
      </c>
      <c r="E96" s="20">
        <f t="shared" si="25"/>
        <v>5.4761904761904763</v>
      </c>
      <c r="F96" s="10">
        <f t="shared" si="20"/>
        <v>5.9761904761904763</v>
      </c>
      <c r="G96" s="73">
        <f t="shared" si="21"/>
        <v>5</v>
      </c>
    </row>
    <row r="97" spans="4:7" x14ac:dyDescent="0.3">
      <c r="D97" s="9">
        <v>235</v>
      </c>
      <c r="E97" s="20">
        <f t="shared" si="25"/>
        <v>5.5952380952380949</v>
      </c>
      <c r="F97" s="10">
        <f t="shared" si="20"/>
        <v>6.0952380952380949</v>
      </c>
      <c r="G97" s="73">
        <f t="shared" si="21"/>
        <v>6</v>
      </c>
    </row>
    <row r="98" spans="4:7" x14ac:dyDescent="0.3">
      <c r="D98" s="9">
        <v>240</v>
      </c>
      <c r="E98" s="20">
        <f t="shared" si="25"/>
        <v>5.7142857142857144</v>
      </c>
      <c r="F98" s="10">
        <f t="shared" si="20"/>
        <v>6.2142857142857144</v>
      </c>
      <c r="G98" s="73">
        <f t="shared" si="21"/>
        <v>6</v>
      </c>
    </row>
    <row r="99" spans="4:7" x14ac:dyDescent="0.3">
      <c r="D99" s="9">
        <v>245</v>
      </c>
      <c r="E99" s="20">
        <f t="shared" si="25"/>
        <v>5.833333333333333</v>
      </c>
      <c r="F99" s="10">
        <f t="shared" si="20"/>
        <v>6.333333333333333</v>
      </c>
      <c r="G99" s="73">
        <f t="shared" si="21"/>
        <v>6</v>
      </c>
    </row>
    <row r="100" spans="4:7" x14ac:dyDescent="0.3">
      <c r="D100" s="9">
        <v>250</v>
      </c>
      <c r="E100" s="20">
        <f t="shared" si="25"/>
        <v>5.9523809523809526</v>
      </c>
      <c r="F100" s="10">
        <f t="shared" si="20"/>
        <v>6.4523809523809526</v>
      </c>
      <c r="G100" s="73">
        <f t="shared" si="21"/>
        <v>6</v>
      </c>
    </row>
    <row r="101" spans="4:7" ht="17.25" thickBot="1" x14ac:dyDescent="0.35">
      <c r="D101" s="12">
        <v>255</v>
      </c>
      <c r="E101" s="22">
        <f t="shared" si="25"/>
        <v>6.0714285714285712</v>
      </c>
      <c r="F101" s="14">
        <f t="shared" si="20"/>
        <v>6.5714285714285712</v>
      </c>
      <c r="G101" s="74">
        <f t="shared" si="21"/>
        <v>6</v>
      </c>
    </row>
  </sheetData>
  <mergeCells count="9">
    <mergeCell ref="T21:V21"/>
    <mergeCell ref="F37:G37"/>
    <mergeCell ref="H37:I37"/>
    <mergeCell ref="D48:D49"/>
    <mergeCell ref="D37:D38"/>
    <mergeCell ref="M21:P21"/>
    <mergeCell ref="Q21:S21"/>
    <mergeCell ref="D21:G21"/>
    <mergeCell ref="H21:J21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M60"/>
  <sheetViews>
    <sheetView topLeftCell="A31" workbookViewId="0">
      <selection activeCell="I50" sqref="I50"/>
    </sheetView>
  </sheetViews>
  <sheetFormatPr defaultRowHeight="16.5" x14ac:dyDescent="0.3"/>
  <cols>
    <col min="1" max="3" width="4.75" customWidth="1"/>
    <col min="4" max="4" width="11.375" bestFit="1" customWidth="1"/>
    <col min="8" max="8" width="9.5" bestFit="1" customWidth="1"/>
    <col min="9" max="9" width="9.75" bestFit="1" customWidth="1"/>
    <col min="10" max="10" width="10.625" bestFit="1" customWidth="1"/>
  </cols>
  <sheetData>
    <row r="2" spans="2:13" x14ac:dyDescent="0.3">
      <c r="B2" t="s">
        <v>37</v>
      </c>
    </row>
    <row r="3" spans="2:13" x14ac:dyDescent="0.3">
      <c r="C3" t="s">
        <v>54</v>
      </c>
    </row>
    <row r="4" spans="2:13" x14ac:dyDescent="0.3">
      <c r="C4" t="s">
        <v>55</v>
      </c>
    </row>
    <row r="6" spans="2:13" ht="17.25" thickBot="1" x14ac:dyDescent="0.35">
      <c r="C6" t="s">
        <v>56</v>
      </c>
    </row>
    <row r="7" spans="2:13" x14ac:dyDescent="0.3">
      <c r="D7" s="33"/>
      <c r="E7" s="194" t="s">
        <v>66</v>
      </c>
      <c r="F7" s="194"/>
      <c r="G7" s="194" t="s">
        <v>67</v>
      </c>
      <c r="H7" s="194"/>
      <c r="I7" s="194" t="s">
        <v>61</v>
      </c>
      <c r="J7" s="195"/>
      <c r="K7" s="199" t="s">
        <v>62</v>
      </c>
      <c r="L7" s="200"/>
      <c r="M7" s="201"/>
    </row>
    <row r="8" spans="2:13" ht="17.25" thickBot="1" x14ac:dyDescent="0.35">
      <c r="D8" s="75"/>
      <c r="E8" s="31" t="s">
        <v>63</v>
      </c>
      <c r="F8" s="31" t="s">
        <v>64</v>
      </c>
      <c r="G8" s="31" t="s">
        <v>63</v>
      </c>
      <c r="H8" s="31" t="s">
        <v>64</v>
      </c>
      <c r="I8" s="31" t="s">
        <v>63</v>
      </c>
      <c r="J8" s="69" t="s">
        <v>64</v>
      </c>
      <c r="K8" s="30" t="s">
        <v>65</v>
      </c>
      <c r="L8" s="31" t="s">
        <v>63</v>
      </c>
      <c r="M8" s="69" t="s">
        <v>64</v>
      </c>
    </row>
    <row r="9" spans="2:13" x14ac:dyDescent="0.3">
      <c r="D9" s="75" t="s">
        <v>57</v>
      </c>
      <c r="E9" s="27">
        <v>4.2300000000000004</v>
      </c>
      <c r="F9" s="27">
        <v>0</v>
      </c>
      <c r="G9" s="27">
        <v>4.9800000000000004</v>
      </c>
      <c r="H9" s="27">
        <v>0</v>
      </c>
      <c r="I9" s="27">
        <v>4.8</v>
      </c>
      <c r="J9" s="76">
        <v>0</v>
      </c>
      <c r="K9" s="77">
        <v>4.22</v>
      </c>
      <c r="L9" s="78">
        <v>4.2300000000000004</v>
      </c>
      <c r="M9" s="79">
        <v>0</v>
      </c>
    </row>
    <row r="10" spans="2:13" x14ac:dyDescent="0.3">
      <c r="D10" s="75" t="s">
        <v>58</v>
      </c>
      <c r="E10" s="7">
        <v>4.16</v>
      </c>
      <c r="F10" s="7">
        <v>4.0599999999999996</v>
      </c>
      <c r="G10" s="7">
        <v>4.05</v>
      </c>
      <c r="H10" s="7">
        <v>4.0599999999999996</v>
      </c>
      <c r="I10" s="7">
        <v>4.08</v>
      </c>
      <c r="J10" s="8">
        <v>4.05</v>
      </c>
      <c r="K10" s="80">
        <v>4.1399999999999997</v>
      </c>
      <c r="L10" s="81">
        <v>4.1500000000000004</v>
      </c>
      <c r="M10" s="82">
        <v>4.07</v>
      </c>
    </row>
    <row r="11" spans="2:13" x14ac:dyDescent="0.3">
      <c r="D11" s="75" t="s">
        <v>59</v>
      </c>
      <c r="E11" s="7">
        <v>0.438</v>
      </c>
      <c r="F11" s="7">
        <v>0</v>
      </c>
      <c r="G11" s="83">
        <v>0</v>
      </c>
      <c r="H11" s="7">
        <v>0</v>
      </c>
      <c r="I11" s="83">
        <v>1E-3</v>
      </c>
      <c r="J11" s="8">
        <v>0</v>
      </c>
      <c r="K11" s="80">
        <v>0.42</v>
      </c>
      <c r="L11" s="81">
        <v>0.39200000000000002</v>
      </c>
      <c r="M11" s="82">
        <v>0</v>
      </c>
    </row>
    <row r="12" spans="2:13" ht="17.25" thickBot="1" x14ac:dyDescent="0.35">
      <c r="D12" s="34" t="s">
        <v>60</v>
      </c>
      <c r="E12" s="13">
        <v>0</v>
      </c>
      <c r="F12" s="13">
        <v>0</v>
      </c>
      <c r="G12" s="84">
        <v>4.9800000000000004</v>
      </c>
      <c r="H12" s="13">
        <v>0</v>
      </c>
      <c r="I12" s="84">
        <v>3.7</v>
      </c>
      <c r="J12" s="18">
        <v>0</v>
      </c>
      <c r="K12" s="85">
        <v>0</v>
      </c>
      <c r="L12" s="86">
        <v>0</v>
      </c>
      <c r="M12" s="87">
        <v>7.0000000000000001E-3</v>
      </c>
    </row>
    <row r="13" spans="2:13" x14ac:dyDescent="0.3">
      <c r="D13" s="88" t="s">
        <v>68</v>
      </c>
    </row>
    <row r="14" spans="2:13" x14ac:dyDescent="0.3">
      <c r="D14" s="89" t="s">
        <v>69</v>
      </c>
    </row>
    <row r="16" spans="2:13" x14ac:dyDescent="0.3">
      <c r="C16" t="s">
        <v>70</v>
      </c>
    </row>
    <row r="45" spans="4:11" ht="17.25" thickBot="1" x14ac:dyDescent="0.35"/>
    <row r="46" spans="4:11" x14ac:dyDescent="0.3">
      <c r="D46" s="90"/>
      <c r="E46" s="202" t="s">
        <v>71</v>
      </c>
      <c r="F46" s="202"/>
      <c r="G46" s="202"/>
      <c r="H46" s="202" t="s">
        <v>87</v>
      </c>
      <c r="I46" s="202"/>
      <c r="J46" s="202"/>
      <c r="K46" s="203" t="s">
        <v>88</v>
      </c>
    </row>
    <row r="47" spans="4:11" ht="17.25" thickBot="1" x14ac:dyDescent="0.35">
      <c r="D47" s="91"/>
      <c r="E47" s="31" t="s">
        <v>65</v>
      </c>
      <c r="F47" s="31" t="s">
        <v>63</v>
      </c>
      <c r="G47" s="31" t="s">
        <v>64</v>
      </c>
      <c r="H47" s="92" t="s">
        <v>80</v>
      </c>
      <c r="I47" s="92" t="s">
        <v>81</v>
      </c>
      <c r="J47" s="92" t="s">
        <v>82</v>
      </c>
      <c r="K47" s="204"/>
    </row>
    <row r="48" spans="4:11" x14ac:dyDescent="0.3">
      <c r="D48" s="90" t="s">
        <v>57</v>
      </c>
      <c r="E48" s="93">
        <v>4.22</v>
      </c>
      <c r="F48" s="93">
        <v>4.2300000000000004</v>
      </c>
      <c r="G48" s="93">
        <v>0</v>
      </c>
      <c r="H48" s="98">
        <v>0</v>
      </c>
      <c r="I48" s="98">
        <v>4.88</v>
      </c>
      <c r="J48" s="98">
        <v>5.01</v>
      </c>
      <c r="K48" s="17" t="s">
        <v>76</v>
      </c>
    </row>
    <row r="49" spans="4:11" x14ac:dyDescent="0.3">
      <c r="D49" s="94" t="s">
        <v>58</v>
      </c>
      <c r="E49" s="81">
        <v>4.1399999999999997</v>
      </c>
      <c r="F49" s="81">
        <v>4.1500000000000004</v>
      </c>
      <c r="G49" s="81">
        <v>4.07</v>
      </c>
      <c r="H49" s="99">
        <v>4.1710000000000003</v>
      </c>
      <c r="I49" s="99">
        <v>4.1929999999999996</v>
      </c>
      <c r="J49" s="99">
        <v>4.1710000000000003</v>
      </c>
      <c r="K49" s="8" t="s">
        <v>76</v>
      </c>
    </row>
    <row r="50" spans="4:11" x14ac:dyDescent="0.3">
      <c r="D50" s="94" t="s">
        <v>72</v>
      </c>
      <c r="E50" s="81">
        <v>0.42</v>
      </c>
      <c r="F50" s="81">
        <v>0.39200000000000002</v>
      </c>
      <c r="G50" s="81">
        <v>0</v>
      </c>
      <c r="H50" s="99">
        <v>0</v>
      </c>
      <c r="I50" s="101">
        <v>0.12</v>
      </c>
      <c r="J50" s="101">
        <v>2.637</v>
      </c>
      <c r="K50" s="8" t="s">
        <v>77</v>
      </c>
    </row>
    <row r="51" spans="4:11" x14ac:dyDescent="0.3">
      <c r="D51" s="94" t="s">
        <v>60</v>
      </c>
      <c r="E51" s="81">
        <v>0</v>
      </c>
      <c r="F51" s="81">
        <v>0</v>
      </c>
      <c r="G51" s="81">
        <v>7.0000000000000001E-3</v>
      </c>
      <c r="H51" s="99" t="s">
        <v>75</v>
      </c>
      <c r="I51" s="99">
        <v>80</v>
      </c>
      <c r="J51" s="99" t="s">
        <v>74</v>
      </c>
      <c r="K51" s="95" t="s">
        <v>78</v>
      </c>
    </row>
    <row r="52" spans="4:11" ht="17.25" thickBot="1" x14ac:dyDescent="0.35">
      <c r="D52" s="96" t="s">
        <v>73</v>
      </c>
      <c r="E52" s="13"/>
      <c r="F52" s="13"/>
      <c r="G52" s="13"/>
      <c r="H52" s="100">
        <v>0</v>
      </c>
      <c r="I52" s="100">
        <v>0</v>
      </c>
      <c r="J52" s="39">
        <v>3.3</v>
      </c>
      <c r="K52" s="97" t="s">
        <v>79</v>
      </c>
    </row>
    <row r="57" spans="4:11" x14ac:dyDescent="0.3">
      <c r="D57" t="s">
        <v>83</v>
      </c>
      <c r="E57">
        <v>3.4</v>
      </c>
      <c r="F57">
        <v>4.2</v>
      </c>
    </row>
    <row r="58" spans="4:11" x14ac:dyDescent="0.3">
      <c r="D58" t="s">
        <v>84</v>
      </c>
      <c r="E58">
        <v>430</v>
      </c>
      <c r="F58">
        <v>430</v>
      </c>
    </row>
    <row r="59" spans="4:11" x14ac:dyDescent="0.3">
      <c r="D59" t="s">
        <v>85</v>
      </c>
      <c r="E59">
        <v>2000</v>
      </c>
      <c r="F59">
        <v>2000</v>
      </c>
    </row>
    <row r="60" spans="4:11" x14ac:dyDescent="0.3">
      <c r="D60" t="s">
        <v>86</v>
      </c>
      <c r="E60">
        <f>E57*E59/(E58+E59)</f>
        <v>2.7983539094650207</v>
      </c>
      <c r="F60">
        <f>F57*F59/(F58+F59)</f>
        <v>3.4567901234567899</v>
      </c>
    </row>
  </sheetData>
  <mergeCells count="7">
    <mergeCell ref="E7:F7"/>
    <mergeCell ref="G7:H7"/>
    <mergeCell ref="I7:J7"/>
    <mergeCell ref="K7:M7"/>
    <mergeCell ref="E46:G46"/>
    <mergeCell ref="H46:J46"/>
    <mergeCell ref="K46:K4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312"/>
  <sheetViews>
    <sheetView topLeftCell="A270" zoomScale="85" zoomScaleNormal="85" workbookViewId="0">
      <selection activeCell="X299" sqref="W299:X299"/>
    </sheetView>
  </sheetViews>
  <sheetFormatPr defaultRowHeight="16.5" x14ac:dyDescent="0.3"/>
  <cols>
    <col min="1" max="2" width="4.625" customWidth="1"/>
    <col min="3" max="3" width="4.625" style="4" customWidth="1"/>
    <col min="4" max="5" width="9" customWidth="1"/>
  </cols>
  <sheetData>
    <row r="2" spans="2:22" x14ac:dyDescent="0.3">
      <c r="B2" s="4" t="s">
        <v>36</v>
      </c>
    </row>
    <row r="3" spans="2:22" ht="17.25" thickBot="1" x14ac:dyDescent="0.35">
      <c r="C3" s="4" t="s">
        <v>35</v>
      </c>
    </row>
    <row r="4" spans="2:22" ht="33.75" customHeight="1" thickBot="1" x14ac:dyDescent="0.35">
      <c r="D4" s="35" t="s">
        <v>29</v>
      </c>
      <c r="E4" s="208" t="s">
        <v>30</v>
      </c>
      <c r="F4" s="208"/>
      <c r="G4" s="208" t="s">
        <v>31</v>
      </c>
      <c r="H4" s="209"/>
      <c r="I4" s="208" t="s">
        <v>256</v>
      </c>
      <c r="J4" s="209"/>
      <c r="K4" s="208" t="s">
        <v>258</v>
      </c>
      <c r="L4" s="210"/>
    </row>
    <row r="5" spans="2:22" x14ac:dyDescent="0.3">
      <c r="D5" s="36" t="s">
        <v>32</v>
      </c>
      <c r="E5" s="207">
        <v>80</v>
      </c>
      <c r="F5" s="207"/>
      <c r="G5" s="207">
        <v>829.5</v>
      </c>
      <c r="H5" s="207"/>
      <c r="I5" s="207">
        <v>20</v>
      </c>
      <c r="J5" s="207"/>
      <c r="K5" s="207">
        <v>40</v>
      </c>
      <c r="L5" s="207"/>
      <c r="N5">
        <f>1/E5*1000</f>
        <v>12.5</v>
      </c>
      <c r="O5" t="s">
        <v>314</v>
      </c>
    </row>
    <row r="6" spans="2:22" x14ac:dyDescent="0.3">
      <c r="D6" s="23" t="s">
        <v>33</v>
      </c>
      <c r="E6" s="206">
        <v>80</v>
      </c>
      <c r="F6" s="206"/>
      <c r="G6" s="206">
        <v>829.5</v>
      </c>
      <c r="H6" s="206"/>
      <c r="I6" s="206">
        <v>10</v>
      </c>
      <c r="J6" s="206"/>
      <c r="K6" s="206">
        <v>20</v>
      </c>
      <c r="L6" s="206"/>
      <c r="N6">
        <f>N5/2</f>
        <v>6.25</v>
      </c>
      <c r="O6" t="s">
        <v>314</v>
      </c>
    </row>
    <row r="7" spans="2:22" ht="17.25" thickBot="1" x14ac:dyDescent="0.35">
      <c r="D7" s="30" t="s">
        <v>34</v>
      </c>
      <c r="E7" s="205">
        <v>80</v>
      </c>
      <c r="F7" s="205"/>
      <c r="G7" s="205">
        <v>829.5</v>
      </c>
      <c r="H7" s="205"/>
      <c r="I7" s="205">
        <v>10</v>
      </c>
      <c r="J7" s="205"/>
      <c r="K7" s="205"/>
      <c r="L7" s="205"/>
    </row>
    <row r="8" spans="2:22" x14ac:dyDescent="0.3">
      <c r="V8" s="4" t="s">
        <v>255</v>
      </c>
    </row>
    <row r="23" spans="4:10" x14ac:dyDescent="0.3">
      <c r="D23" t="s">
        <v>257</v>
      </c>
      <c r="J23" t="s">
        <v>259</v>
      </c>
    </row>
    <row r="38" spans="4:12" x14ac:dyDescent="0.3">
      <c r="D38" t="s">
        <v>260</v>
      </c>
      <c r="L38" t="s">
        <v>252</v>
      </c>
    </row>
    <row r="57" spans="4:12" x14ac:dyDescent="0.3">
      <c r="D57" t="s">
        <v>251</v>
      </c>
      <c r="L57" t="s">
        <v>261</v>
      </c>
    </row>
    <row r="82" spans="2:5" x14ac:dyDescent="0.3">
      <c r="B82" s="4" t="s">
        <v>247</v>
      </c>
    </row>
    <row r="83" spans="2:5" x14ac:dyDescent="0.3">
      <c r="C83" s="4" t="s">
        <v>241</v>
      </c>
    </row>
    <row r="84" spans="2:5" x14ac:dyDescent="0.3">
      <c r="D84">
        <v>31.56</v>
      </c>
      <c r="E84" t="s">
        <v>239</v>
      </c>
    </row>
    <row r="85" spans="2:5" x14ac:dyDescent="0.3">
      <c r="D85" s="142">
        <f>1/D84*1000</f>
        <v>31.685678073510775</v>
      </c>
      <c r="E85" t="s">
        <v>240</v>
      </c>
    </row>
    <row r="108" spans="2:12" x14ac:dyDescent="0.3">
      <c r="B108" s="4" t="s">
        <v>248</v>
      </c>
    </row>
    <row r="109" spans="2:12" x14ac:dyDescent="0.3">
      <c r="C109" s="180" t="s">
        <v>249</v>
      </c>
    </row>
    <row r="110" spans="2:12" x14ac:dyDescent="0.3">
      <c r="B110" s="4"/>
      <c r="D110" t="s">
        <v>250</v>
      </c>
      <c r="L110" t="s">
        <v>252</v>
      </c>
    </row>
    <row r="130" spans="4:4" x14ac:dyDescent="0.3">
      <c r="D130" t="s">
        <v>251</v>
      </c>
    </row>
    <row r="150" spans="2:12" x14ac:dyDescent="0.3">
      <c r="C150" s="4" t="s">
        <v>253</v>
      </c>
    </row>
    <row r="151" spans="2:12" x14ac:dyDescent="0.3">
      <c r="C151" s="71" t="s">
        <v>254</v>
      </c>
    </row>
    <row r="152" spans="2:12" x14ac:dyDescent="0.3">
      <c r="B152" s="4"/>
      <c r="D152" t="s">
        <v>250</v>
      </c>
      <c r="L152" t="s">
        <v>252</v>
      </c>
    </row>
    <row r="171" spans="4:4" x14ac:dyDescent="0.3">
      <c r="D171" t="s">
        <v>251</v>
      </c>
    </row>
    <row r="191" spans="3:3" x14ac:dyDescent="0.3">
      <c r="C191" s="4" t="s">
        <v>262</v>
      </c>
    </row>
    <row r="192" spans="3:3" x14ac:dyDescent="0.3">
      <c r="C192" s="4" t="s">
        <v>263</v>
      </c>
    </row>
    <row r="193" spans="2:12" x14ac:dyDescent="0.3">
      <c r="D193" s="71" t="s">
        <v>264</v>
      </c>
    </row>
    <row r="194" spans="2:12" x14ac:dyDescent="0.3">
      <c r="B194" s="4"/>
      <c r="D194" t="s">
        <v>250</v>
      </c>
      <c r="L194" t="s">
        <v>252</v>
      </c>
    </row>
    <row r="213" spans="4:4" x14ac:dyDescent="0.3">
      <c r="D213" t="s">
        <v>251</v>
      </c>
    </row>
    <row r="233" spans="3:4" x14ac:dyDescent="0.3">
      <c r="C233" s="4" t="s">
        <v>313</v>
      </c>
    </row>
    <row r="234" spans="3:4" x14ac:dyDescent="0.3">
      <c r="D234" t="s">
        <v>250</v>
      </c>
    </row>
    <row r="253" spans="4:4" x14ac:dyDescent="0.3">
      <c r="D253" t="s">
        <v>252</v>
      </c>
    </row>
    <row r="272" spans="4:4" x14ac:dyDescent="0.3">
      <c r="D272" t="s">
        <v>251</v>
      </c>
    </row>
    <row r="292" spans="3:12" x14ac:dyDescent="0.3">
      <c r="C292" s="4" t="s">
        <v>317</v>
      </c>
    </row>
    <row r="293" spans="3:12" x14ac:dyDescent="0.3">
      <c r="L293" t="s">
        <v>318</v>
      </c>
    </row>
    <row r="312" spans="4:4" x14ac:dyDescent="0.3">
      <c r="D312" t="s">
        <v>251</v>
      </c>
    </row>
  </sheetData>
  <mergeCells count="16">
    <mergeCell ref="I4:J4"/>
    <mergeCell ref="K4:L4"/>
    <mergeCell ref="G5:H5"/>
    <mergeCell ref="I5:J5"/>
    <mergeCell ref="K5:L5"/>
    <mergeCell ref="I6:J6"/>
    <mergeCell ref="K6:L6"/>
    <mergeCell ref="G7:H7"/>
    <mergeCell ref="I7:J7"/>
    <mergeCell ref="K7:L7"/>
    <mergeCell ref="E7:F7"/>
    <mergeCell ref="E6:F6"/>
    <mergeCell ref="E5:F5"/>
    <mergeCell ref="E4:F4"/>
    <mergeCell ref="G6:H6"/>
    <mergeCell ref="G4:H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78"/>
  <sheetViews>
    <sheetView topLeftCell="A76" zoomScaleNormal="100" workbookViewId="0">
      <selection activeCell="B106" sqref="B106"/>
    </sheetView>
  </sheetViews>
  <sheetFormatPr defaultRowHeight="16.5" x14ac:dyDescent="0.3"/>
  <cols>
    <col min="3" max="3" width="19.125" bestFit="1" customWidth="1"/>
    <col min="4" max="4" width="17.75" bestFit="1" customWidth="1"/>
    <col min="5" max="5" width="23.75" bestFit="1" customWidth="1"/>
    <col min="6" max="6" width="17.75" customWidth="1"/>
    <col min="7" max="7" width="19.5" bestFit="1" customWidth="1"/>
  </cols>
  <sheetData>
    <row r="2" spans="2:9" x14ac:dyDescent="0.3">
      <c r="C2" t="s">
        <v>279</v>
      </c>
      <c r="D2" t="s">
        <v>267</v>
      </c>
      <c r="E2" t="s">
        <v>280</v>
      </c>
      <c r="F2" t="s">
        <v>274</v>
      </c>
      <c r="G2" t="s">
        <v>273</v>
      </c>
      <c r="H2" t="s">
        <v>281</v>
      </c>
    </row>
    <row r="3" spans="2:9" x14ac:dyDescent="0.3">
      <c r="B3">
        <v>1</v>
      </c>
      <c r="C3" t="s">
        <v>271</v>
      </c>
      <c r="D3" t="s">
        <v>268</v>
      </c>
      <c r="E3" t="s">
        <v>278</v>
      </c>
      <c r="F3" t="s">
        <v>275</v>
      </c>
      <c r="G3" t="s">
        <v>292</v>
      </c>
      <c r="H3">
        <v>39</v>
      </c>
    </row>
    <row r="4" spans="2:9" x14ac:dyDescent="0.3">
      <c r="B4">
        <v>2</v>
      </c>
      <c r="C4" t="s">
        <v>271</v>
      </c>
      <c r="D4" t="s">
        <v>269</v>
      </c>
      <c r="E4" t="s">
        <v>278</v>
      </c>
      <c r="F4" t="s">
        <v>275</v>
      </c>
      <c r="G4" t="s">
        <v>293</v>
      </c>
      <c r="H4">
        <v>40</v>
      </c>
    </row>
    <row r="5" spans="2:9" x14ac:dyDescent="0.3">
      <c r="B5">
        <v>3</v>
      </c>
      <c r="C5" t="s">
        <v>271</v>
      </c>
      <c r="D5" t="s">
        <v>270</v>
      </c>
      <c r="E5" t="s">
        <v>278</v>
      </c>
      <c r="F5" t="s">
        <v>275</v>
      </c>
      <c r="G5" t="s">
        <v>294</v>
      </c>
      <c r="H5">
        <v>41</v>
      </c>
    </row>
    <row r="6" spans="2:9" x14ac:dyDescent="0.3">
      <c r="B6">
        <v>4</v>
      </c>
      <c r="C6" t="s">
        <v>272</v>
      </c>
      <c r="D6" t="s">
        <v>269</v>
      </c>
      <c r="E6" t="s">
        <v>278</v>
      </c>
      <c r="F6" t="s">
        <v>276</v>
      </c>
      <c r="G6" s="181" t="s">
        <v>277</v>
      </c>
    </row>
    <row r="7" spans="2:9" x14ac:dyDescent="0.3">
      <c r="B7">
        <v>5</v>
      </c>
      <c r="C7" t="s">
        <v>271</v>
      </c>
      <c r="D7" t="s">
        <v>268</v>
      </c>
      <c r="E7" t="s">
        <v>282</v>
      </c>
      <c r="F7" t="s">
        <v>275</v>
      </c>
      <c r="G7" t="s">
        <v>293</v>
      </c>
      <c r="H7">
        <v>42</v>
      </c>
      <c r="I7" t="s">
        <v>283</v>
      </c>
    </row>
    <row r="8" spans="2:9" x14ac:dyDescent="0.3">
      <c r="B8">
        <v>6</v>
      </c>
      <c r="C8" t="s">
        <v>271</v>
      </c>
      <c r="D8" t="s">
        <v>268</v>
      </c>
      <c r="E8" t="s">
        <v>278</v>
      </c>
      <c r="F8" t="s">
        <v>275</v>
      </c>
      <c r="G8" t="s">
        <v>292</v>
      </c>
      <c r="H8">
        <v>43</v>
      </c>
      <c r="I8" t="s">
        <v>286</v>
      </c>
    </row>
    <row r="9" spans="2:9" x14ac:dyDescent="0.3">
      <c r="C9" t="s">
        <v>284</v>
      </c>
    </row>
    <row r="10" spans="2:9" x14ac:dyDescent="0.3">
      <c r="C10" t="s">
        <v>285</v>
      </c>
    </row>
    <row r="11" spans="2:9" x14ac:dyDescent="0.3">
      <c r="B11">
        <v>7</v>
      </c>
      <c r="C11" t="s">
        <v>271</v>
      </c>
      <c r="D11" t="s">
        <v>268</v>
      </c>
      <c r="E11" t="s">
        <v>278</v>
      </c>
      <c r="F11" t="s">
        <v>275</v>
      </c>
      <c r="G11" t="s">
        <v>295</v>
      </c>
      <c r="H11">
        <v>44</v>
      </c>
      <c r="I11" t="s">
        <v>290</v>
      </c>
    </row>
    <row r="12" spans="2:9" x14ac:dyDescent="0.3">
      <c r="C12" t="s">
        <v>287</v>
      </c>
    </row>
    <row r="13" spans="2:9" x14ac:dyDescent="0.3">
      <c r="C13" t="s">
        <v>288</v>
      </c>
    </row>
    <row r="14" spans="2:9" x14ac:dyDescent="0.3">
      <c r="C14" t="s">
        <v>289</v>
      </c>
    </row>
    <row r="15" spans="2:9" x14ac:dyDescent="0.3">
      <c r="B15">
        <v>8</v>
      </c>
      <c r="C15" t="s">
        <v>271</v>
      </c>
      <c r="D15" t="s">
        <v>268</v>
      </c>
      <c r="E15" t="s">
        <v>278</v>
      </c>
      <c r="F15" t="s">
        <v>275</v>
      </c>
      <c r="G15" t="s">
        <v>292</v>
      </c>
      <c r="H15">
        <v>45</v>
      </c>
      <c r="I15" t="s">
        <v>296</v>
      </c>
    </row>
    <row r="16" spans="2:9" x14ac:dyDescent="0.3">
      <c r="C16" t="s">
        <v>284</v>
      </c>
      <c r="I16" t="s">
        <v>297</v>
      </c>
    </row>
    <row r="17" spans="2:9" x14ac:dyDescent="0.3">
      <c r="C17" t="s">
        <v>291</v>
      </c>
    </row>
    <row r="18" spans="2:9" x14ac:dyDescent="0.3">
      <c r="C18" t="s">
        <v>288</v>
      </c>
    </row>
    <row r="19" spans="2:9" x14ac:dyDescent="0.3">
      <c r="C19" t="s">
        <v>289</v>
      </c>
    </row>
    <row r="20" spans="2:9" x14ac:dyDescent="0.3">
      <c r="B20">
        <v>9</v>
      </c>
      <c r="C20" t="s">
        <v>271</v>
      </c>
      <c r="D20" t="s">
        <v>268</v>
      </c>
      <c r="E20" t="s">
        <v>278</v>
      </c>
      <c r="F20" t="s">
        <v>275</v>
      </c>
      <c r="G20" t="s">
        <v>295</v>
      </c>
      <c r="I20" t="s">
        <v>290</v>
      </c>
    </row>
    <row r="21" spans="2:9" x14ac:dyDescent="0.3">
      <c r="C21" t="s">
        <v>284</v>
      </c>
    </row>
    <row r="22" spans="2:9" x14ac:dyDescent="0.3">
      <c r="C22" t="s">
        <v>288</v>
      </c>
    </row>
    <row r="23" spans="2:9" x14ac:dyDescent="0.3">
      <c r="C23" t="s">
        <v>289</v>
      </c>
    </row>
    <row r="24" spans="2:9" x14ac:dyDescent="0.3">
      <c r="C24" t="s">
        <v>291</v>
      </c>
    </row>
    <row r="25" spans="2:9" x14ac:dyDescent="0.3">
      <c r="B25">
        <v>10</v>
      </c>
      <c r="C25" t="s">
        <v>271</v>
      </c>
      <c r="D25" t="s">
        <v>268</v>
      </c>
      <c r="E25" t="s">
        <v>278</v>
      </c>
      <c r="F25" t="s">
        <v>275</v>
      </c>
      <c r="G25" t="s">
        <v>295</v>
      </c>
      <c r="I25" t="s">
        <v>290</v>
      </c>
    </row>
    <row r="26" spans="2:9" x14ac:dyDescent="0.3">
      <c r="C26" t="s">
        <v>284</v>
      </c>
    </row>
    <row r="27" spans="2:9" x14ac:dyDescent="0.3">
      <c r="C27" t="s">
        <v>288</v>
      </c>
    </row>
    <row r="28" spans="2:9" x14ac:dyDescent="0.3">
      <c r="C28" t="s">
        <v>289</v>
      </c>
    </row>
    <row r="29" spans="2:9" x14ac:dyDescent="0.3">
      <c r="C29" t="s">
        <v>291</v>
      </c>
    </row>
    <row r="30" spans="2:9" x14ac:dyDescent="0.3">
      <c r="C30" t="s">
        <v>306</v>
      </c>
    </row>
    <row r="31" spans="2:9" x14ac:dyDescent="0.3">
      <c r="B31">
        <v>11</v>
      </c>
    </row>
    <row r="32" spans="2:9" x14ac:dyDescent="0.3">
      <c r="B32">
        <v>12</v>
      </c>
    </row>
    <row r="33" spans="2:8" x14ac:dyDescent="0.3">
      <c r="B33">
        <v>13</v>
      </c>
    </row>
    <row r="34" spans="2:8" x14ac:dyDescent="0.3">
      <c r="B34">
        <v>14</v>
      </c>
    </row>
    <row r="35" spans="2:8" x14ac:dyDescent="0.3">
      <c r="B35">
        <v>15</v>
      </c>
    </row>
    <row r="36" spans="2:8" x14ac:dyDescent="0.3">
      <c r="C36" s="211" t="s">
        <v>301</v>
      </c>
      <c r="D36" s="211"/>
      <c r="E36" s="211" t="s">
        <v>302</v>
      </c>
      <c r="F36" s="211"/>
    </row>
    <row r="37" spans="2:8" x14ac:dyDescent="0.3">
      <c r="C37" t="s">
        <v>298</v>
      </c>
      <c r="D37" t="s">
        <v>299</v>
      </c>
      <c r="E37" t="s">
        <v>298</v>
      </c>
      <c r="F37" t="s">
        <v>299</v>
      </c>
    </row>
    <row r="38" spans="2:8" x14ac:dyDescent="0.3">
      <c r="C38" t="s">
        <v>300</v>
      </c>
      <c r="D38" t="s">
        <v>300</v>
      </c>
      <c r="E38" t="s">
        <v>303</v>
      </c>
      <c r="F38" t="s">
        <v>300</v>
      </c>
      <c r="G38" t="s">
        <v>295</v>
      </c>
      <c r="H38">
        <v>46</v>
      </c>
    </row>
    <row r="39" spans="2:8" x14ac:dyDescent="0.3">
      <c r="C39" t="s">
        <v>300</v>
      </c>
      <c r="D39" t="s">
        <v>300</v>
      </c>
      <c r="E39" t="s">
        <v>303</v>
      </c>
      <c r="F39" t="s">
        <v>303</v>
      </c>
      <c r="G39" t="s">
        <v>295</v>
      </c>
      <c r="H39">
        <v>47</v>
      </c>
    </row>
    <row r="40" spans="2:8" x14ac:dyDescent="0.3">
      <c r="C40" t="s">
        <v>300</v>
      </c>
      <c r="D40" t="s">
        <v>303</v>
      </c>
      <c r="E40" t="s">
        <v>303</v>
      </c>
      <c r="F40" t="s">
        <v>303</v>
      </c>
      <c r="G40" t="s">
        <v>295</v>
      </c>
    </row>
    <row r="41" spans="2:8" x14ac:dyDescent="0.3">
      <c r="C41" t="s">
        <v>303</v>
      </c>
      <c r="D41" t="s">
        <v>303</v>
      </c>
      <c r="E41" t="s">
        <v>303</v>
      </c>
      <c r="F41" t="s">
        <v>303</v>
      </c>
      <c r="G41" t="s">
        <v>304</v>
      </c>
      <c r="H41">
        <v>48</v>
      </c>
    </row>
    <row r="42" spans="2:8" x14ac:dyDescent="0.3">
      <c r="C42" t="s">
        <v>303</v>
      </c>
      <c r="D42" t="s">
        <v>303</v>
      </c>
      <c r="E42" t="s">
        <v>300</v>
      </c>
      <c r="F42" t="s">
        <v>300</v>
      </c>
      <c r="G42" t="s">
        <v>305</v>
      </c>
      <c r="H42">
        <v>49</v>
      </c>
    </row>
    <row r="43" spans="2:8" x14ac:dyDescent="0.3">
      <c r="C43" t="s">
        <v>300</v>
      </c>
      <c r="D43" t="s">
        <v>300</v>
      </c>
      <c r="E43" t="s">
        <v>303</v>
      </c>
      <c r="F43" t="s">
        <v>300</v>
      </c>
      <c r="G43" t="s">
        <v>304</v>
      </c>
      <c r="H43">
        <v>50</v>
      </c>
    </row>
    <row r="44" spans="2:8" x14ac:dyDescent="0.3">
      <c r="C44" t="s">
        <v>307</v>
      </c>
    </row>
    <row r="45" spans="2:8" x14ac:dyDescent="0.3">
      <c r="C45" t="s">
        <v>300</v>
      </c>
      <c r="D45" t="s">
        <v>300</v>
      </c>
      <c r="E45" t="s">
        <v>303</v>
      </c>
      <c r="F45" t="s">
        <v>300</v>
      </c>
      <c r="G45" t="s">
        <v>304</v>
      </c>
    </row>
    <row r="46" spans="2:8" x14ac:dyDescent="0.3">
      <c r="C46" t="s">
        <v>308</v>
      </c>
    </row>
    <row r="48" spans="2:8" x14ac:dyDescent="0.3">
      <c r="B48" t="s">
        <v>311</v>
      </c>
    </row>
    <row r="49" spans="2:8" x14ac:dyDescent="0.3">
      <c r="B49" t="s">
        <v>309</v>
      </c>
      <c r="H49" t="s">
        <v>310</v>
      </c>
    </row>
    <row r="77" spans="2:8" x14ac:dyDescent="0.3">
      <c r="B77" t="s">
        <v>312</v>
      </c>
    </row>
    <row r="78" spans="2:8" x14ac:dyDescent="0.3">
      <c r="B78" t="s">
        <v>309</v>
      </c>
      <c r="H78" t="s">
        <v>310</v>
      </c>
    </row>
  </sheetData>
  <mergeCells count="2">
    <mergeCell ref="C36:D36"/>
    <mergeCell ref="E36:F36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129"/>
  <sheetViews>
    <sheetView topLeftCell="A43" workbookViewId="0">
      <selection activeCell="K68" sqref="K68"/>
    </sheetView>
  </sheetViews>
  <sheetFormatPr defaultRowHeight="16.5" x14ac:dyDescent="0.3"/>
  <cols>
    <col min="1" max="1" width="3.875" customWidth="1"/>
    <col min="2" max="2" width="4.75" customWidth="1"/>
    <col min="4" max="4" width="11.5" bestFit="1" customWidth="1"/>
  </cols>
  <sheetData>
    <row r="2" spans="2:9" x14ac:dyDescent="0.3">
      <c r="B2" s="102" t="s">
        <v>246</v>
      </c>
    </row>
    <row r="3" spans="2:9" ht="17.25" thickBot="1" x14ac:dyDescent="0.35">
      <c r="D3" s="103"/>
      <c r="E3" s="103"/>
      <c r="F3" s="103"/>
    </row>
    <row r="4" spans="2:9" x14ac:dyDescent="0.3">
      <c r="C4" s="196" t="s">
        <v>89</v>
      </c>
      <c r="D4" s="212"/>
      <c r="E4" s="104">
        <v>3.3</v>
      </c>
      <c r="F4" s="105" t="s">
        <v>90</v>
      </c>
      <c r="I4" t="s">
        <v>243</v>
      </c>
    </row>
    <row r="5" spans="2:9" x14ac:dyDescent="0.3">
      <c r="C5" s="213" t="s">
        <v>245</v>
      </c>
      <c r="D5" s="214"/>
      <c r="E5" s="106">
        <v>10</v>
      </c>
      <c r="F5" s="107" t="s">
        <v>91</v>
      </c>
      <c r="I5" t="s">
        <v>244</v>
      </c>
    </row>
    <row r="6" spans="2:9" ht="17.25" thickBot="1" x14ac:dyDescent="0.35">
      <c r="C6" s="197" t="s">
        <v>92</v>
      </c>
      <c r="D6" s="215"/>
      <c r="E6" s="108">
        <v>3435</v>
      </c>
      <c r="F6" s="109"/>
    </row>
    <row r="7" spans="2:9" ht="17.25" thickBot="1" x14ac:dyDescent="0.35">
      <c r="C7" s="103"/>
      <c r="D7" s="103"/>
      <c r="E7" s="103"/>
      <c r="F7" s="103"/>
    </row>
    <row r="8" spans="2:9" ht="17.25" thickBot="1" x14ac:dyDescent="0.35">
      <c r="C8" s="110" t="s">
        <v>93</v>
      </c>
      <c r="D8" s="111" t="s">
        <v>94</v>
      </c>
      <c r="E8" s="110" t="s">
        <v>95</v>
      </c>
      <c r="F8" s="112" t="s">
        <v>96</v>
      </c>
      <c r="G8" s="113" t="s">
        <v>243</v>
      </c>
    </row>
    <row r="9" spans="2:9" x14ac:dyDescent="0.3">
      <c r="C9" s="114">
        <v>80</v>
      </c>
      <c r="D9" s="115">
        <f t="shared" ref="D9:D72" si="0">10*EXP(3435*(1/($C9+273.15)-1/(25+273.15)))</f>
        <v>1.6624354223086466</v>
      </c>
      <c r="E9" s="116">
        <f>3.3*D9/(D9+10)</f>
        <v>0.47040233835931844</v>
      </c>
      <c r="F9" s="117">
        <f>E9*255/3.3</f>
        <v>36.349271600492791</v>
      </c>
      <c r="G9" s="118"/>
    </row>
    <row r="10" spans="2:9" x14ac:dyDescent="0.3">
      <c r="C10" s="119">
        <v>79</v>
      </c>
      <c r="D10" s="120">
        <f t="shared" si="0"/>
        <v>1.7089936304544149</v>
      </c>
      <c r="E10" s="121">
        <f t="shared" ref="E10:E73" si="1">3.3*D10/(D10+10)</f>
        <v>0.48165360392981083</v>
      </c>
      <c r="F10" s="122">
        <f t="shared" ref="F10:F73" si="2">E10*255/3.3</f>
        <v>37.218687576394473</v>
      </c>
      <c r="G10" s="123"/>
    </row>
    <row r="11" spans="2:9" x14ac:dyDescent="0.3">
      <c r="C11" s="119">
        <v>78</v>
      </c>
      <c r="D11" s="120">
        <f t="shared" si="0"/>
        <v>1.7571321549204693</v>
      </c>
      <c r="E11" s="121">
        <f t="shared" si="1"/>
        <v>0.49319307079582386</v>
      </c>
      <c r="F11" s="122">
        <f t="shared" si="2"/>
        <v>38.110373652404576</v>
      </c>
      <c r="G11" s="123"/>
    </row>
    <row r="12" spans="2:9" x14ac:dyDescent="0.3">
      <c r="C12" s="119">
        <v>77</v>
      </c>
      <c r="D12" s="120">
        <f t="shared" si="0"/>
        <v>1.8069133057338957</v>
      </c>
      <c r="E12" s="121">
        <f t="shared" si="1"/>
        <v>0.50502733055777427</v>
      </c>
      <c r="F12" s="122">
        <f t="shared" si="2"/>
        <v>39.024839179464379</v>
      </c>
      <c r="G12" s="123"/>
    </row>
    <row r="13" spans="2:9" x14ac:dyDescent="0.3">
      <c r="C13" s="119">
        <v>76</v>
      </c>
      <c r="D13" s="120">
        <f t="shared" si="0"/>
        <v>1.8584021756867772</v>
      </c>
      <c r="E13" s="121">
        <f t="shared" si="1"/>
        <v>0.51716302828219674</v>
      </c>
      <c r="F13" s="122">
        <f t="shared" si="2"/>
        <v>39.962597639987933</v>
      </c>
      <c r="G13" s="123"/>
    </row>
    <row r="14" spans="2:9" x14ac:dyDescent="0.3">
      <c r="C14" s="119">
        <v>75</v>
      </c>
      <c r="D14" s="120">
        <f t="shared" si="0"/>
        <v>1.9116667787058046</v>
      </c>
      <c r="E14" s="121">
        <f t="shared" si="1"/>
        <v>0.52960685409759001</v>
      </c>
      <c r="F14" s="122">
        <f t="shared" si="2"/>
        <v>40.924165998450142</v>
      </c>
      <c r="G14" s="123"/>
    </row>
    <row r="15" spans="2:9" x14ac:dyDescent="0.3">
      <c r="C15" s="119">
        <v>74</v>
      </c>
      <c r="D15" s="120">
        <f t="shared" si="0"/>
        <v>1.9667781957864792</v>
      </c>
      <c r="E15" s="121">
        <f t="shared" si="1"/>
        <v>0.54236553397309983</v>
      </c>
      <c r="F15" s="122">
        <f t="shared" si="2"/>
        <v>41.910063988830437</v>
      </c>
      <c r="G15" s="123"/>
    </row>
    <row r="16" spans="2:9" x14ac:dyDescent="0.3">
      <c r="C16" s="119">
        <v>73</v>
      </c>
      <c r="D16" s="120">
        <f t="shared" si="0"/>
        <v>2.0238107289422835</v>
      </c>
      <c r="E16" s="121">
        <f t="shared" si="1"/>
        <v>0.55544581963800088</v>
      </c>
      <c r="F16" s="122">
        <f t="shared" si="2"/>
        <v>42.920813335663702</v>
      </c>
      <c r="G16" s="123"/>
    </row>
    <row r="17" spans="3:7" x14ac:dyDescent="0.3">
      <c r="C17" s="119">
        <v>72</v>
      </c>
      <c r="D17" s="120">
        <f t="shared" si="0"/>
        <v>2.0828420636480276</v>
      </c>
      <c r="E17" s="121">
        <f t="shared" si="1"/>
        <v>0.56885447759989127</v>
      </c>
      <c r="F17" s="122">
        <f t="shared" si="2"/>
        <v>43.956936905446142</v>
      </c>
      <c r="G17" s="123"/>
    </row>
    <row r="18" spans="3:7" x14ac:dyDescent="0.3">
      <c r="C18" s="119">
        <v>71</v>
      </c>
      <c r="D18" s="120">
        <f t="shared" si="0"/>
        <v>2.1439534402876985</v>
      </c>
      <c r="E18" s="121">
        <f t="shared" si="1"/>
        <v>0.58259827721982693</v>
      </c>
      <c r="F18" s="122">
        <f t="shared" si="2"/>
        <v>45.018957785168446</v>
      </c>
      <c r="G18" s="123"/>
    </row>
    <row r="19" spans="3:7" x14ac:dyDescent="0.3">
      <c r="C19" s="119">
        <v>70</v>
      </c>
      <c r="D19" s="120">
        <f t="shared" si="0"/>
        <v>2.2072298351500903</v>
      </c>
      <c r="E19" s="121">
        <f t="shared" si="1"/>
        <v>0.59668397780320326</v>
      </c>
      <c r="F19" s="122">
        <f t="shared" si="2"/>
        <v>46.107398284792986</v>
      </c>
      <c r="G19" s="123"/>
    </row>
    <row r="20" spans="3:7" x14ac:dyDescent="0.3">
      <c r="C20" s="119">
        <v>69</v>
      </c>
      <c r="D20" s="120">
        <f t="shared" si="0"/>
        <v>2.2727601515510725</v>
      </c>
      <c r="E20" s="121">
        <f t="shared" si="1"/>
        <v>0.61111831466621225</v>
      </c>
      <c r="F20" s="122">
        <f t="shared" si="2"/>
        <v>47.222778860570948</v>
      </c>
      <c r="G20" s="123"/>
    </row>
    <row r="21" spans="3:7" x14ac:dyDescent="0.3">
      <c r="C21" s="119">
        <v>68</v>
      </c>
      <c r="D21" s="120">
        <f t="shared" si="0"/>
        <v>2.3406374216991437</v>
      </c>
      <c r="E21" s="121">
        <f t="shared" si="1"/>
        <v>0.62590798413909365</v>
      </c>
      <c r="F21" s="122">
        <f t="shared" si="2"/>
        <v>48.365616956202693</v>
      </c>
      <c r="G21" s="123"/>
    </row>
    <row r="22" spans="3:7" x14ac:dyDescent="0.3">
      <c r="C22" s="119">
        <v>67</v>
      </c>
      <c r="D22" s="120">
        <f t="shared" si="0"/>
        <v>2.4109590199615178</v>
      </c>
      <c r="E22" s="121">
        <f t="shared" si="1"/>
        <v>0.64105962746927825</v>
      </c>
      <c r="F22" s="122">
        <f t="shared" si="2"/>
        <v>49.536425758989687</v>
      </c>
      <c r="G22" s="123"/>
    </row>
    <row r="23" spans="3:7" x14ac:dyDescent="0.3">
      <c r="C23" s="119">
        <v>66</v>
      </c>
      <c r="D23" s="120">
        <f t="shared" si="0"/>
        <v>2.4838268882314325</v>
      </c>
      <c r="E23" s="121">
        <f t="shared" si="1"/>
        <v>0.65657981358991224</v>
      </c>
      <c r="F23" s="122">
        <f t="shared" si="2"/>
        <v>50.73571286831141</v>
      </c>
      <c r="G23" s="123"/>
    </row>
    <row r="24" spans="3:7" x14ac:dyDescent="0.3">
      <c r="C24" s="119">
        <v>65</v>
      </c>
      <c r="D24" s="120">
        <f t="shared" si="0"/>
        <v>2.5593477741438884</v>
      </c>
      <c r="E24" s="121">
        <f t="shared" si="1"/>
        <v>0.67247502072220822</v>
      </c>
      <c r="F24" s="122">
        <f t="shared" si="2"/>
        <v>51.963978873988822</v>
      </c>
      <c r="G24" s="123"/>
    </row>
    <row r="25" spans="3:7" x14ac:dyDescent="0.3">
      <c r="C25" s="119">
        <v>64</v>
      </c>
      <c r="D25" s="120">
        <f t="shared" si="0"/>
        <v>2.6376334829368053</v>
      </c>
      <c r="E25" s="121">
        <f t="shared" si="1"/>
        <v>0.68875161678361374</v>
      </c>
      <c r="F25" s="122">
        <f t="shared" si="2"/>
        <v>53.221715842370159</v>
      </c>
      <c r="G25" s="123"/>
    </row>
    <row r="26" spans="3:7" x14ac:dyDescent="0.3">
      <c r="C26" s="119">
        <v>63</v>
      </c>
      <c r="D26" s="120">
        <f t="shared" si="0"/>
        <v>2.7188011438080064</v>
      </c>
      <c r="E26" s="121">
        <f t="shared" si="1"/>
        <v>0.70541583857802126</v>
      </c>
      <c r="F26" s="122">
        <f t="shared" si="2"/>
        <v>54.509405708301642</v>
      </c>
      <c r="G26" s="123"/>
    </row>
    <row r="27" spans="3:7" x14ac:dyDescent="0.3">
      <c r="C27" s="119">
        <v>62</v>
      </c>
      <c r="D27" s="120">
        <f t="shared" si="0"/>
        <v>2.8029734916756794</v>
      </c>
      <c r="E27" s="121">
        <f t="shared" si="1"/>
        <v>0.72247376974917943</v>
      </c>
      <c r="F27" s="122">
        <f t="shared" si="2"/>
        <v>55.827518571527506</v>
      </c>
      <c r="G27" s="123"/>
    </row>
    <row r="28" spans="3:7" x14ac:dyDescent="0.3">
      <c r="C28" s="119">
        <v>61</v>
      </c>
      <c r="D28" s="120">
        <f t="shared" si="0"/>
        <v>2.8902791653113207</v>
      </c>
      <c r="E28" s="121">
        <f t="shared" si="1"/>
        <v>0.73993131748415486</v>
      </c>
      <c r="F28" s="122">
        <f t="shared" si="2"/>
        <v>57.176510896502883</v>
      </c>
      <c r="G28" s="123"/>
    </row>
    <row r="29" spans="3:7" x14ac:dyDescent="0.3">
      <c r="C29" s="124">
        <v>60</v>
      </c>
      <c r="D29" s="125">
        <f t="shared" si="0"/>
        <v>2.9808530228799102</v>
      </c>
      <c r="E29" s="126">
        <f t="shared" si="1"/>
        <v>0.75779418796017806</v>
      </c>
      <c r="F29" s="127">
        <f t="shared" si="2"/>
        <v>58.556823615104676</v>
      </c>
      <c r="G29" s="128"/>
    </row>
    <row r="30" spans="3:7" x14ac:dyDescent="0.3">
      <c r="C30" s="124">
        <v>59</v>
      </c>
      <c r="D30" s="125">
        <f t="shared" si="0"/>
        <v>3.0748364759928224</v>
      </c>
      <c r="E30" s="126">
        <f t="shared" si="1"/>
        <v>0.77606786053558008</v>
      </c>
      <c r="F30" s="127">
        <f t="shared" si="2"/>
        <v>59.968880132294821</v>
      </c>
      <c r="G30" s="128"/>
    </row>
    <row r="31" spans="3:7" x14ac:dyDescent="0.3">
      <c r="C31" s="124">
        <v>58</v>
      </c>
      <c r="D31" s="125">
        <f t="shared" si="0"/>
        <v>3.1723778434546186</v>
      </c>
      <c r="E31" s="126">
        <f t="shared" si="1"/>
        <v>0.79475756069373849</v>
      </c>
      <c r="F31" s="127">
        <f t="shared" si="2"/>
        <v>61.413084235425252</v>
      </c>
      <c r="G31" s="128"/>
    </row>
    <row r="32" spans="3:7" x14ac:dyDescent="0.3">
      <c r="C32" s="124">
        <v>57</v>
      </c>
      <c r="D32" s="125">
        <f t="shared" si="0"/>
        <v>3.2736327259662663</v>
      </c>
      <c r="E32" s="126">
        <f t="shared" si="1"/>
        <v>0.81386823175810485</v>
      </c>
      <c r="F32" s="127">
        <f t="shared" si="2"/>
        <v>62.889817908580831</v>
      </c>
      <c r="G32" s="128"/>
    </row>
    <row r="33" spans="3:7" x14ac:dyDescent="0.3">
      <c r="C33" s="124">
        <v>56</v>
      </c>
      <c r="D33" s="125">
        <f t="shared" si="0"/>
        <v>3.3787644031347446</v>
      </c>
      <c r="E33" s="126">
        <f t="shared" si="1"/>
        <v>0.83340450540650424</v>
      </c>
      <c r="F33" s="127">
        <f t="shared" si="2"/>
        <v>64.399439054138966</v>
      </c>
      <c r="G33" s="128"/>
    </row>
    <row r="34" spans="3:7" x14ac:dyDescent="0.3">
      <c r="C34" s="124">
        <v>55</v>
      </c>
      <c r="D34" s="125">
        <f t="shared" si="0"/>
        <v>3.4879442542327848</v>
      </c>
      <c r="E34" s="126">
        <f t="shared" si="1"/>
        <v>0.85337067102394448</v>
      </c>
      <c r="F34" s="127">
        <f t="shared" si="2"/>
        <v>65.942279124577524</v>
      </c>
      <c r="G34" s="128"/>
    </row>
    <row r="35" spans="3:7" x14ac:dyDescent="0.3">
      <c r="C35" s="124">
        <v>54</v>
      </c>
      <c r="D35" s="125">
        <f t="shared" si="0"/>
        <v>3.6013522042533337</v>
      </c>
      <c r="E35" s="126">
        <f t="shared" si="1"/>
        <v>0.8737706439452072</v>
      </c>
      <c r="F35" s="127">
        <f t="shared" si="2"/>
        <v>67.518640668493276</v>
      </c>
      <c r="G35" s="128"/>
    </row>
    <row r="36" spans="3:7" x14ac:dyDescent="0.3">
      <c r="C36" s="124">
        <v>53</v>
      </c>
      <c r="D36" s="125">
        <f t="shared" si="0"/>
        <v>3.7191771969118221</v>
      </c>
      <c r="E36" s="126">
        <f t="shared" si="1"/>
        <v>0.89460793265150917</v>
      </c>
      <c r="F36" s="127">
        <f t="shared" si="2"/>
        <v>69.128794795798441</v>
      </c>
      <c r="G36" s="128"/>
    </row>
    <row r="37" spans="3:7" x14ac:dyDescent="0.3">
      <c r="C37" s="124">
        <v>52</v>
      </c>
      <c r="D37" s="125">
        <f t="shared" si="0"/>
        <v>3.841617696365768</v>
      </c>
      <c r="E37" s="126">
        <f t="shared" si="1"/>
        <v>0.91588560499944849</v>
      </c>
      <c r="F37" s="127">
        <f t="shared" si="2"/>
        <v>70.772978568139209</v>
      </c>
      <c r="G37" s="128"/>
    </row>
    <row r="38" spans="3:7" x14ac:dyDescent="0.3">
      <c r="C38" s="124">
        <v>51</v>
      </c>
      <c r="D38" s="125">
        <f t="shared" si="0"/>
        <v>3.9688822195467566</v>
      </c>
      <c r="E38" s="126">
        <f t="shared" si="1"/>
        <v>0.93760625357533156</v>
      </c>
      <c r="F38" s="127">
        <f t="shared" si="2"/>
        <v>72.451392321730168</v>
      </c>
      <c r="G38" s="128"/>
    </row>
    <row r="39" spans="3:7" x14ac:dyDescent="0.3">
      <c r="C39" s="124">
        <v>50</v>
      </c>
      <c r="D39" s="125">
        <f t="shared" si="0"/>
        <v>4.1011899011346262</v>
      </c>
      <c r="E39" s="126">
        <f t="shared" si="1"/>
        <v>0.95977196028366962</v>
      </c>
      <c r="F39" s="127">
        <f t="shared" si="2"/>
        <v>74.164196931010835</v>
      </c>
      <c r="G39" s="128"/>
    </row>
    <row r="40" spans="3:7" x14ac:dyDescent="0.3">
      <c r="C40" s="124">
        <v>49</v>
      </c>
      <c r="D40" s="125">
        <f t="shared" si="0"/>
        <v>4.2387710933490039</v>
      </c>
      <c r="E40" s="126">
        <f t="shared" si="1"/>
        <v>0.98238426029515602</v>
      </c>
      <c r="F40" s="127">
        <f t="shared" si="2"/>
        <v>75.911511022807517</v>
      </c>
      <c r="G40" s="128"/>
    </row>
    <row r="41" spans="3:7" x14ac:dyDescent="0.3">
      <c r="C41" s="124">
        <v>48</v>
      </c>
      <c r="D41" s="125">
        <f t="shared" si="0"/>
        <v>4.3818680028895844</v>
      </c>
      <c r="E41" s="126">
        <f t="shared" si="1"/>
        <v>1.0054441054966095</v>
      </c>
      <c r="F41" s="127">
        <f t="shared" si="2"/>
        <v>77.693408152010733</v>
      </c>
      <c r="G41" s="128"/>
    </row>
    <row r="42" spans="3:7" x14ac:dyDescent="0.3">
      <c r="C42" s="124">
        <v>47</v>
      </c>
      <c r="D42" s="125">
        <f t="shared" si="0"/>
        <v>4.5307353675251312</v>
      </c>
      <c r="E42" s="126">
        <f t="shared" si="1"/>
        <v>1.0289518276031651</v>
      </c>
      <c r="F42" s="127">
        <f t="shared" si="2"/>
        <v>79.509913951153663</v>
      </c>
      <c r="G42" s="128"/>
    </row>
    <row r="43" spans="3:7" x14ac:dyDescent="0.3">
      <c r="C43" s="124">
        <v>46</v>
      </c>
      <c r="D43" s="125">
        <f t="shared" si="0"/>
        <v>4.6856411750123215</v>
      </c>
      <c r="E43" s="126">
        <f t="shared" si="1"/>
        <v>1.0529071011111428</v>
      </c>
      <c r="F43" s="127">
        <f t="shared" si="2"/>
        <v>81.361003267679223</v>
      </c>
      <c r="G43" s="128"/>
    </row>
    <row r="44" spans="3:7" x14ac:dyDescent="0.3">
      <c r="C44" s="124">
        <v>45</v>
      </c>
      <c r="D44" s="125">
        <f t="shared" si="0"/>
        <v>4.8468674272215395</v>
      </c>
      <c r="E44" s="126">
        <f t="shared" si="1"/>
        <v>1.0773089062885464</v>
      </c>
      <c r="F44" s="127">
        <f t="shared" si="2"/>
        <v>83.246597304114957</v>
      </c>
      <c r="G44" s="128"/>
    </row>
    <row r="45" spans="3:7" x14ac:dyDescent="0.3">
      <c r="C45" s="124">
        <v>44</v>
      </c>
      <c r="D45" s="125">
        <f t="shared" si="0"/>
        <v>5.0147109525571185</v>
      </c>
      <c r="E45" s="126">
        <f t="shared" si="1"/>
        <v>1.1021554924185968</v>
      </c>
      <c r="F45" s="127">
        <f t="shared" si="2"/>
        <v>85.166560777800669</v>
      </c>
      <c r="G45" s="128"/>
    </row>
    <row r="46" spans="3:7" x14ac:dyDescent="0.3">
      <c r="C46" s="124">
        <v>43</v>
      </c>
      <c r="D46" s="125">
        <f t="shared" si="0"/>
        <v>5.1894842699873927</v>
      </c>
      <c r="E46" s="126">
        <f t="shared" si="1"/>
        <v>1.1274443415301427</v>
      </c>
      <c r="F46" s="127">
        <f t="shared" si="2"/>
        <v>87.120699118238306</v>
      </c>
      <c r="G46" s="128"/>
    </row>
    <row r="47" spans="3:7" x14ac:dyDescent="0.3">
      <c r="C47" s="124">
        <v>42</v>
      </c>
      <c r="D47" s="125">
        <f t="shared" si="0"/>
        <v>5.3715165082449872</v>
      </c>
      <c r="E47" s="126">
        <f t="shared" si="1"/>
        <v>1.1531721328666931</v>
      </c>
      <c r="F47" s="127">
        <f t="shared" si="2"/>
        <v>89.108755721517198</v>
      </c>
      <c r="G47" s="128"/>
    </row>
    <row r="48" spans="3:7" x14ac:dyDescent="0.3">
      <c r="C48" s="124">
        <v>41</v>
      </c>
      <c r="D48" s="125">
        <f t="shared" si="0"/>
        <v>5.5611543840228439</v>
      </c>
      <c r="E48" s="126">
        <f t="shared" si="1"/>
        <v>1.1793347083631405</v>
      </c>
      <c r="F48" s="127">
        <f t="shared" si="2"/>
        <v>91.130409282606323</v>
      </c>
      <c r="G48" s="128"/>
    </row>
    <row r="49" spans="3:7" x14ac:dyDescent="0.3">
      <c r="C49" s="124">
        <v>40</v>
      </c>
      <c r="D49" s="125">
        <f t="shared" si="0"/>
        <v>5.7587632432773441</v>
      </c>
      <c r="E49" s="126">
        <f t="shared" si="1"/>
        <v>1.2059270394154991</v>
      </c>
      <c r="F49" s="127">
        <f t="shared" si="2"/>
        <v>93.185271227561302</v>
      </c>
      <c r="G49" s="128"/>
    </row>
    <row r="50" spans="3:7" x14ac:dyDescent="0.3">
      <c r="C50" s="124">
        <v>39</v>
      </c>
      <c r="D50" s="125">
        <f t="shared" si="0"/>
        <v>5.9647281700587653</v>
      </c>
      <c r="E50" s="126">
        <f t="shared" si="1"/>
        <v>1.2329431952439855</v>
      </c>
      <c r="F50" s="127">
        <f t="shared" si="2"/>
        <v>95.272883268853434</v>
      </c>
      <c r="G50" s="128"/>
    </row>
    <row r="51" spans="3:7" x14ac:dyDescent="0.3">
      <c r="C51" s="124">
        <v>38</v>
      </c>
      <c r="D51" s="125">
        <f t="shared" si="0"/>
        <v>6.1794551676232299</v>
      </c>
      <c r="E51" s="126">
        <f t="shared" si="1"/>
        <v>1.2603763131631014</v>
      </c>
      <c r="F51" s="127">
        <f t="shared" si="2"/>
        <v>97.392715108057843</v>
      </c>
      <c r="G51" s="128"/>
    </row>
    <row r="52" spans="3:7" x14ac:dyDescent="0.3">
      <c r="C52" s="124">
        <v>37</v>
      </c>
      <c r="D52" s="125">
        <f t="shared" si="0"/>
        <v>6.4033724169408526</v>
      </c>
      <c r="E52" s="126">
        <f t="shared" si="1"/>
        <v>1.2882185710836687</v>
      </c>
      <c r="F52" s="127">
        <f t="shared" si="2"/>
        <v>99.544162311010766</v>
      </c>
      <c r="G52" s="128"/>
    </row>
    <row r="53" spans="3:7" x14ac:dyDescent="0.3">
      <c r="C53" s="124">
        <v>36</v>
      </c>
      <c r="D53" s="125">
        <f t="shared" si="0"/>
        <v>6.6369316181051214</v>
      </c>
      <c r="E53" s="126">
        <f t="shared" si="1"/>
        <v>1.3164611625807374</v>
      </c>
      <c r="F53" s="127">
        <f t="shared" si="2"/>
        <v>101.7265443812388</v>
      </c>
      <c r="G53" s="128"/>
    </row>
    <row r="54" spans="3:7" x14ac:dyDescent="0.3">
      <c r="C54" s="124">
        <v>35</v>
      </c>
      <c r="D54" s="125">
        <f t="shared" si="0"/>
        <v>6.8806094205703117</v>
      </c>
      <c r="E54" s="126">
        <f t="shared" si="1"/>
        <v>1.345094274867412</v>
      </c>
      <c r="F54" s="127">
        <f t="shared" si="2"/>
        <v>103.93910305793639</v>
      </c>
      <c r="G54" s="128"/>
    </row>
    <row r="55" spans="3:7" x14ac:dyDescent="0.3">
      <c r="C55" s="124">
        <v>34</v>
      </c>
      <c r="D55" s="125">
        <f t="shared" si="0"/>
        <v>7.1349089486006214</v>
      </c>
      <c r="E55" s="126">
        <f t="shared" si="1"/>
        <v>1.3741070700177223</v>
      </c>
      <c r="F55" s="127">
        <f t="shared" si="2"/>
        <v>106.18100086500581</v>
      </c>
      <c r="G55" s="128"/>
    </row>
    <row r="56" spans="3:7" x14ac:dyDescent="0.3">
      <c r="C56" s="124">
        <v>33</v>
      </c>
      <c r="D56" s="125">
        <f t="shared" si="0"/>
        <v>7.4003614288089592</v>
      </c>
      <c r="E56" s="126">
        <f t="shared" si="1"/>
        <v>1.4034876697811889</v>
      </c>
      <c r="F56" s="127">
        <f t="shared" si="2"/>
        <v>108.45131993763732</v>
      </c>
      <c r="G56" s="128"/>
    </row>
    <row r="57" spans="3:7" x14ac:dyDescent="0.3">
      <c r="C57" s="124">
        <v>32</v>
      </c>
      <c r="D57" s="125">
        <f t="shared" si="0"/>
        <v>7.6775279271985291</v>
      </c>
      <c r="E57" s="126">
        <f t="shared" si="1"/>
        <v>1.4332231443274137</v>
      </c>
      <c r="F57" s="127">
        <f t="shared" si="2"/>
        <v>110.74906115257288</v>
      </c>
      <c r="G57" s="128"/>
    </row>
    <row r="58" spans="3:7" x14ac:dyDescent="0.3">
      <c r="C58" s="124">
        <v>31</v>
      </c>
      <c r="D58" s="125">
        <f t="shared" si="0"/>
        <v>7.9670012037008062</v>
      </c>
      <c r="E58" s="126">
        <f t="shared" si="1"/>
        <v>1.4632995052506186</v>
      </c>
      <c r="F58" s="127">
        <f t="shared" si="2"/>
        <v>113.0731435875478</v>
      </c>
      <c r="G58" s="128"/>
    </row>
    <row r="59" spans="3:7" x14ac:dyDescent="0.3">
      <c r="C59" s="124">
        <v>30</v>
      </c>
      <c r="D59" s="125">
        <f t="shared" si="0"/>
        <v>8.2694076928314946</v>
      </c>
      <c r="E59" s="126">
        <f t="shared" si="1"/>
        <v>1.4937017031510846</v>
      </c>
      <c r="F59" s="127">
        <f t="shared" si="2"/>
        <v>115.422404334402</v>
      </c>
      <c r="G59" s="128"/>
    </row>
    <row r="60" spans="3:7" x14ac:dyDescent="0.3">
      <c r="C60" s="124">
        <v>29</v>
      </c>
      <c r="D60" s="125">
        <f t="shared" si="0"/>
        <v>8.585409619768269</v>
      </c>
      <c r="E60" s="126">
        <f t="shared" si="1"/>
        <v>1.5244136300929447</v>
      </c>
      <c r="F60" s="127">
        <f t="shared" si="2"/>
        <v>117.79559868900027</v>
      </c>
      <c r="G60" s="128"/>
    </row>
    <row r="61" spans="3:7" x14ac:dyDescent="0.3">
      <c r="C61" s="124">
        <v>28</v>
      </c>
      <c r="D61" s="125">
        <f t="shared" si="0"/>
        <v>8.915707261893008</v>
      </c>
      <c r="E61" s="126">
        <f t="shared" si="1"/>
        <v>1.555418127215324</v>
      </c>
      <c r="F61" s="127">
        <f t="shared" si="2"/>
        <v>120.19140073936596</v>
      </c>
      <c r="G61" s="128"/>
    </row>
    <row r="62" spans="3:7" x14ac:dyDescent="0.3">
      <c r="C62" s="124">
        <v>27</v>
      </c>
      <c r="D62" s="125">
        <f t="shared" si="0"/>
        <v>9.2610413666433828</v>
      </c>
      <c r="E62" s="126">
        <f t="shared" si="1"/>
        <v>1.5866969977464462</v>
      </c>
      <c r="F62" s="127">
        <f t="shared" si="2"/>
        <v>122.6084043713163</v>
      </c>
      <c r="G62" s="128"/>
    </row>
    <row r="63" spans="3:7" x14ac:dyDescent="0.3">
      <c r="C63" s="124">
        <v>26</v>
      </c>
      <c r="D63" s="125">
        <f t="shared" si="0"/>
        <v>9.6221957373899265</v>
      </c>
      <c r="E63" s="126">
        <f t="shared" si="1"/>
        <v>1.6182310256380337</v>
      </c>
      <c r="F63" s="127">
        <f t="shared" si="2"/>
        <v>125.04512470839353</v>
      </c>
      <c r="G63" s="128"/>
    </row>
    <row r="64" spans="3:7" x14ac:dyDescent="0.3">
      <c r="C64" s="129">
        <v>25</v>
      </c>
      <c r="D64" s="130">
        <f t="shared" si="0"/>
        <v>10</v>
      </c>
      <c r="E64" s="131">
        <f t="shared" si="1"/>
        <v>1.65</v>
      </c>
      <c r="F64" s="132">
        <f t="shared" si="2"/>
        <v>127.5</v>
      </c>
      <c r="G64" s="133"/>
    </row>
    <row r="65" spans="3:7" x14ac:dyDescent="0.3">
      <c r="C65" s="124">
        <v>24</v>
      </c>
      <c r="D65" s="125">
        <f t="shared" si="0"/>
        <v>10.395332563777576</v>
      </c>
      <c r="E65" s="126">
        <f t="shared" si="1"/>
        <v>1.6819827454734173</v>
      </c>
      <c r="F65" s="127">
        <f t="shared" si="2"/>
        <v>129.97139396840043</v>
      </c>
      <c r="G65" s="128"/>
    </row>
    <row r="66" spans="3:7" x14ac:dyDescent="0.3">
      <c r="C66" s="124">
        <v>23</v>
      </c>
      <c r="D66" s="125">
        <f t="shared" si="0"/>
        <v>10.809123791584984</v>
      </c>
      <c r="E66" s="126">
        <f t="shared" si="1"/>
        <v>1.7141571586332291</v>
      </c>
      <c r="F66" s="127">
        <f t="shared" si="2"/>
        <v>132.45759862165863</v>
      </c>
      <c r="G66" s="128"/>
    </row>
    <row r="67" spans="3:7" x14ac:dyDescent="0.3">
      <c r="C67" s="124">
        <v>22</v>
      </c>
      <c r="D67" s="125">
        <f t="shared" si="0"/>
        <v>11.242359395166375</v>
      </c>
      <c r="E67" s="126">
        <f t="shared" si="1"/>
        <v>1.7465002504613949</v>
      </c>
      <c r="F67" s="127">
        <f t="shared" si="2"/>
        <v>134.95683753565325</v>
      </c>
      <c r="G67" s="128"/>
    </row>
    <row r="68" spans="3:7" x14ac:dyDescent="0.3">
      <c r="C68" s="124">
        <v>21</v>
      </c>
      <c r="D68" s="125">
        <f t="shared" si="0"/>
        <v>11.696084073014035</v>
      </c>
      <c r="E68" s="126">
        <f t="shared" si="1"/>
        <v>1.7789881948767901</v>
      </c>
      <c r="F68" s="127">
        <f t="shared" si="2"/>
        <v>137.46726960411561</v>
      </c>
      <c r="G68" s="128"/>
    </row>
    <row r="69" spans="3:7" x14ac:dyDescent="0.3">
      <c r="C69" s="124">
        <v>20</v>
      </c>
      <c r="D69" s="125">
        <f t="shared" si="0"/>
        <v>12.171405409556201</v>
      </c>
      <c r="E69" s="126">
        <f t="shared" si="1"/>
        <v>1.8115963832506297</v>
      </c>
      <c r="F69" s="127">
        <f t="shared" si="2"/>
        <v>139.98699325118503</v>
      </c>
      <c r="G69" s="128"/>
    </row>
    <row r="70" spans="3:7" x14ac:dyDescent="0.3">
      <c r="C70" s="124">
        <v>19</v>
      </c>
      <c r="D70" s="125">
        <f t="shared" si="0"/>
        <v>12.669498056009836</v>
      </c>
      <c r="E70" s="126">
        <f t="shared" si="1"/>
        <v>1.8442994847761316</v>
      </c>
      <c r="F70" s="127">
        <f t="shared" si="2"/>
        <v>142.51405109633745</v>
      </c>
      <c r="G70" s="128"/>
    </row>
    <row r="71" spans="3:7" x14ac:dyDescent="0.3">
      <c r="C71" s="124">
        <v>18</v>
      </c>
      <c r="D71" s="125">
        <f t="shared" si="0"/>
        <v>13.191608214946873</v>
      </c>
      <c r="E71" s="126">
        <f t="shared" si="1"/>
        <v>1.8770715124994362</v>
      </c>
      <c r="F71" s="127">
        <f t="shared" si="2"/>
        <v>145.04643505677464</v>
      </c>
      <c r="G71" s="128"/>
    </row>
    <row r="72" spans="3:7" x14ac:dyDescent="0.3">
      <c r="C72" s="124">
        <v>17</v>
      </c>
      <c r="D72" s="125">
        <f t="shared" si="0"/>
        <v>13.739058452479735</v>
      </c>
      <c r="E72" s="126">
        <f t="shared" si="1"/>
        <v>1.9098858947561634</v>
      </c>
      <c r="F72" s="127">
        <f t="shared" si="2"/>
        <v>147.58209186752174</v>
      </c>
      <c r="G72" s="128"/>
    </row>
    <row r="73" spans="3:7" x14ac:dyDescent="0.3">
      <c r="C73" s="124">
        <v>16</v>
      </c>
      <c r="D73" s="125">
        <f t="shared" ref="D73:D129" si="3">10*EXP(3435*(1/($C73+273.15)-1/(25+273.15)))</f>
        <v>14.313252863997532</v>
      </c>
      <c r="E73" s="126">
        <f t="shared" si="1"/>
        <v>1.942715551695446</v>
      </c>
      <c r="F73" s="127">
        <f t="shared" si="2"/>
        <v>150.11892899464809</v>
      </c>
      <c r="G73" s="128"/>
    </row>
    <row r="74" spans="3:7" x14ac:dyDescent="0.3">
      <c r="C74" s="124">
        <v>15</v>
      </c>
      <c r="D74" s="125">
        <f t="shared" si="3"/>
        <v>14.91568262159252</v>
      </c>
      <c r="E74" s="126">
        <f t="shared" ref="E74:E129" si="4">3.3*D74/(D74+10)</f>
        <v>1.9755329765116922</v>
      </c>
      <c r="F74" s="127">
        <f t="shared" ref="F74:F129" si="5">E74*255/3.3</f>
        <v>152.65482091226713</v>
      </c>
      <c r="G74" s="128"/>
    </row>
    <row r="75" spans="3:7" x14ac:dyDescent="0.3">
      <c r="C75" s="124">
        <v>14</v>
      </c>
      <c r="D75" s="125">
        <f t="shared" si="3"/>
        <v>15.547931933727014</v>
      </c>
      <c r="E75" s="126">
        <f t="shared" si="4"/>
        <v>2.0083103209447977</v>
      </c>
      <c r="F75" s="127">
        <f t="shared" si="5"/>
        <v>155.18761570937073</v>
      </c>
      <c r="G75" s="128"/>
    </row>
    <row r="76" spans="3:7" x14ac:dyDescent="0.3">
      <c r="C76" s="124">
        <v>13</v>
      </c>
      <c r="D76" s="125">
        <f t="shared" si="3"/>
        <v>16.211684450321663</v>
      </c>
      <c r="E76" s="126">
        <f t="shared" si="4"/>
        <v>2.041019484553003</v>
      </c>
      <c r="F76" s="127">
        <f t="shared" si="5"/>
        <v>157.71514198818662</v>
      </c>
      <c r="G76" s="128"/>
    </row>
    <row r="77" spans="3:7" x14ac:dyDescent="0.3">
      <c r="C77" s="124">
        <v>12</v>
      </c>
      <c r="D77" s="125">
        <f t="shared" si="3"/>
        <v>16.908730149319247</v>
      </c>
      <c r="E77" s="126">
        <f t="shared" si="4"/>
        <v>2.0736322072100881</v>
      </c>
      <c r="F77" s="127">
        <f t="shared" si="5"/>
        <v>160.23521601168866</v>
      </c>
      <c r="G77" s="128"/>
    </row>
    <row r="78" spans="3:7" x14ac:dyDescent="0.3">
      <c r="C78" s="124">
        <v>11</v>
      </c>
      <c r="D78" s="125">
        <f t="shared" si="3"/>
        <v>17.640972743918336</v>
      </c>
      <c r="E78" s="126">
        <f t="shared" si="4"/>
        <v>2.1061201642311675</v>
      </c>
      <c r="F78" s="127">
        <f t="shared" si="5"/>
        <v>162.74564905422659</v>
      </c>
      <c r="G78" s="128"/>
    </row>
    <row r="79" spans="3:7" x14ac:dyDescent="0.3">
      <c r="C79" s="124">
        <v>10</v>
      </c>
      <c r="D79" s="125">
        <f t="shared" si="3"/>
        <v>18.410437653102953</v>
      </c>
      <c r="E79" s="126">
        <f t="shared" si="4"/>
        <v>2.1384550634898161</v>
      </c>
      <c r="F79" s="127">
        <f t="shared" si="5"/>
        <v>165.24425490603124</v>
      </c>
      <c r="G79" s="128"/>
    </row>
    <row r="80" spans="3:7" x14ac:dyDescent="0.3">
      <c r="C80" s="124">
        <v>9</v>
      </c>
      <c r="D80" s="125">
        <f t="shared" si="3"/>
        <v>19.219280581847851</v>
      </c>
      <c r="E80" s="126">
        <f t="shared" si="4"/>
        <v>2.1706087438545327</v>
      </c>
      <c r="F80" s="127">
        <f t="shared" si="5"/>
        <v>167.72885747966842</v>
      </c>
      <c r="G80" s="128"/>
    </row>
    <row r="81" spans="3:7" x14ac:dyDescent="0.3">
      <c r="C81" s="124">
        <v>8</v>
      </c>
      <c r="D81" s="125">
        <f t="shared" si="3"/>
        <v>20.069796761487471</v>
      </c>
      <c r="E81" s="126">
        <f t="shared" si="4"/>
        <v>2.2025532742454232</v>
      </c>
      <c r="F81" s="127">
        <f t="shared" si="5"/>
        <v>170.19729846441905</v>
      </c>
      <c r="G81" s="128"/>
    </row>
    <row r="82" spans="3:7" x14ac:dyDescent="0.3">
      <c r="C82" s="124">
        <v>7</v>
      </c>
      <c r="D82" s="125">
        <f t="shared" si="3"/>
        <v>20.964430905231307</v>
      </c>
      <c r="E82" s="126">
        <f t="shared" si="4"/>
        <v>2.2342610525929349</v>
      </c>
      <c r="F82" s="127">
        <f t="shared" si="5"/>
        <v>172.64744497309044</v>
      </c>
      <c r="G82" s="128"/>
    </row>
    <row r="83" spans="3:7" x14ac:dyDescent="0.3">
      <c r="C83" s="124">
        <v>6</v>
      </c>
      <c r="D83" s="125">
        <f t="shared" si="3"/>
        <v>21.905787938735372</v>
      </c>
      <c r="E83" s="126">
        <f t="shared" si="4"/>
        <v>2.2657049039702231</v>
      </c>
      <c r="F83" s="127">
        <f t="shared" si="5"/>
        <v>175.07719712497178</v>
      </c>
      <c r="G83" s="128"/>
    </row>
    <row r="84" spans="3:7" x14ac:dyDescent="0.3">
      <c r="C84" s="124">
        <v>5</v>
      </c>
      <c r="D84" s="125">
        <f t="shared" si="3"/>
        <v>22.896644571034059</v>
      </c>
      <c r="E84" s="126">
        <f t="shared" si="4"/>
        <v>2.2968581771693226</v>
      </c>
      <c r="F84" s="127">
        <f t="shared" si="5"/>
        <v>177.4844955085386</v>
      </c>
      <c r="G84" s="128"/>
    </row>
    <row r="85" spans="3:7" x14ac:dyDescent="0.3">
      <c r="C85" s="124">
        <v>4</v>
      </c>
      <c r="D85" s="125">
        <f t="shared" si="3"/>
        <v>23.939961777054059</v>
      </c>
      <c r="E85" s="126">
        <f t="shared" si="4"/>
        <v>2.3276948389991867</v>
      </c>
      <c r="F85" s="127">
        <f t="shared" si="5"/>
        <v>179.86732846811898</v>
      </c>
      <c r="G85" s="128"/>
    </row>
    <row r="86" spans="3:7" x14ac:dyDescent="0.3">
      <c r="C86" s="124">
        <v>3</v>
      </c>
      <c r="D86" s="125">
        <f t="shared" si="3"/>
        <v>25.038898269422482</v>
      </c>
      <c r="E86" s="126">
        <f t="shared" si="4"/>
        <v>2.3581895656006338</v>
      </c>
      <c r="F86" s="127">
        <f t="shared" si="5"/>
        <v>182.22373916004901</v>
      </c>
      <c r="G86" s="128"/>
    </row>
    <row r="87" spans="3:7" x14ac:dyDescent="0.3">
      <c r="C87" s="124">
        <v>2</v>
      </c>
      <c r="D87" s="125">
        <f t="shared" si="3"/>
        <v>26.196825044401393</v>
      </c>
      <c r="E87" s="126">
        <f t="shared" si="4"/>
        <v>2.3883178300991856</v>
      </c>
      <c r="F87" s="127">
        <f t="shared" si="5"/>
        <v>184.55183232584619</v>
      </c>
      <c r="G87" s="128"/>
    </row>
    <row r="88" spans="3:7" x14ac:dyDescent="0.3">
      <c r="C88" s="124">
        <v>1</v>
      </c>
      <c r="D88" s="125">
        <f t="shared" si="3"/>
        <v>27.417341094603298</v>
      </c>
      <c r="E88" s="126">
        <f t="shared" si="4"/>
        <v>2.4180559859514017</v>
      </c>
      <c r="F88" s="127">
        <f t="shared" si="5"/>
        <v>186.84978073260834</v>
      </c>
      <c r="G88" s="128"/>
    </row>
    <row r="89" spans="3:7" x14ac:dyDescent="0.3">
      <c r="C89" s="124">
        <v>0</v>
      </c>
      <c r="D89" s="125">
        <f t="shared" si="3"/>
        <v>28.70429038973078</v>
      </c>
      <c r="E89" s="126">
        <f t="shared" si="4"/>
        <v>2.4473813453829463</v>
      </c>
      <c r="F89" s="127">
        <f t="shared" si="5"/>
        <v>189.11583123413678</v>
      </c>
      <c r="G89" s="128"/>
    </row>
    <row r="90" spans="3:7" x14ac:dyDescent="0.3">
      <c r="C90" s="124">
        <v>-1</v>
      </c>
      <c r="D90" s="125">
        <f t="shared" si="3"/>
        <v>30.061780236027875</v>
      </c>
      <c r="E90" s="126">
        <f t="shared" si="4"/>
        <v>2.4762722523667873</v>
      </c>
      <c r="F90" s="127">
        <f t="shared" si="5"/>
        <v>191.34831041016085</v>
      </c>
      <c r="G90" s="128"/>
    </row>
    <row r="91" spans="3:7" x14ac:dyDescent="0.3">
      <c r="C91" s="124">
        <v>-2</v>
      </c>
      <c r="D91" s="125">
        <f t="shared" si="3"/>
        <v>31.494201135512728</v>
      </c>
      <c r="E91" s="126">
        <f t="shared" si="4"/>
        <v>2.5047081496465533</v>
      </c>
      <c r="F91" s="127">
        <f t="shared" si="5"/>
        <v>193.54562974541548</v>
      </c>
      <c r="G91" s="128"/>
    </row>
    <row r="92" spans="3:7" x14ac:dyDescent="0.3">
      <c r="C92" s="124">
        <v>-3</v>
      </c>
      <c r="D92" s="125">
        <f t="shared" si="3"/>
        <v>33.006248277487359</v>
      </c>
      <c r="E92" s="126">
        <f t="shared" si="4"/>
        <v>2.5326696393725041</v>
      </c>
      <c r="F92" s="127">
        <f t="shared" si="5"/>
        <v>195.70629031514804</v>
      </c>
      <c r="G92" s="128"/>
    </row>
    <row r="93" spans="3:7" x14ac:dyDescent="0.3">
      <c r="C93" s="124">
        <v>-4</v>
      </c>
      <c r="D93" s="125">
        <f t="shared" si="3"/>
        <v>34.602944807398316</v>
      </c>
      <c r="E93" s="126">
        <f t="shared" si="4"/>
        <v>2.5601385369845291</v>
      </c>
      <c r="F93" s="127">
        <f t="shared" si="5"/>
        <v>197.82888694880455</v>
      </c>
      <c r="G93" s="128"/>
    </row>
    <row r="94" spans="3:7" x14ac:dyDescent="0.3">
      <c r="C94" s="124">
        <v>-5</v>
      </c>
      <c r="D94" s="125">
        <f t="shared" si="3"/>
        <v>36.28966703197451</v>
      </c>
      <c r="E94" s="126">
        <f t="shared" si="4"/>
        <v>2.5870979180471245</v>
      </c>
      <c r="F94" s="127">
        <f t="shared" si="5"/>
        <v>199.91211184909599</v>
      </c>
      <c r="G94" s="128"/>
    </row>
    <row r="95" spans="3:7" x14ac:dyDescent="0.3">
      <c r="C95" s="124">
        <v>-6</v>
      </c>
      <c r="D95" s="125">
        <f t="shared" si="3"/>
        <v>38.072171734838193</v>
      </c>
      <c r="E95" s="126">
        <f t="shared" si="4"/>
        <v>2.6135321578141912</v>
      </c>
      <c r="F95" s="127">
        <f t="shared" si="5"/>
        <v>201.95475764927841</v>
      </c>
      <c r="G95" s="128"/>
    </row>
    <row r="96" spans="3:7" x14ac:dyDescent="0.3">
      <c r="C96" s="124">
        <v>-7</v>
      </c>
      <c r="D96" s="125">
        <f t="shared" si="3"/>
        <v>39.956625793618926</v>
      </c>
      <c r="E96" s="126">
        <f t="shared" si="4"/>
        <v>2.6394269633755933</v>
      </c>
      <c r="F96" s="127">
        <f t="shared" si="5"/>
        <v>203.95571989720494</v>
      </c>
      <c r="G96" s="128"/>
    </row>
    <row r="97" spans="3:7" x14ac:dyDescent="0.3">
      <c r="C97" s="124">
        <v>-8</v>
      </c>
      <c r="D97" s="125">
        <f t="shared" si="3"/>
        <v>41.949638308175736</v>
      </c>
      <c r="E97" s="126">
        <f t="shared" si="4"/>
        <v>2.6647693983115466</v>
      </c>
      <c r="F97" s="127">
        <f t="shared" si="5"/>
        <v>205.91399896043768</v>
      </c>
      <c r="G97" s="128"/>
    </row>
    <row r="98" spans="3:7" x14ac:dyDescent="0.3">
      <c r="C98" s="124">
        <v>-9</v>
      </c>
      <c r="D98" s="125">
        <f t="shared" si="3"/>
        <v>44.058295470036484</v>
      </c>
      <c r="E98" s="126">
        <f t="shared" si="4"/>
        <v>2.6895478998539399</v>
      </c>
      <c r="F98" s="127">
        <f t="shared" si="5"/>
        <v>207.82870135234992</v>
      </c>
      <c r="G98" s="128"/>
    </row>
    <row r="99" spans="3:7" x14ac:dyDescent="0.3">
      <c r="C99" s="124">
        <v>-10</v>
      </c>
      <c r="D99" s="125">
        <f t="shared" si="3"/>
        <v>46.290198425810701</v>
      </c>
      <c r="E99" s="126">
        <f t="shared" si="4"/>
        <v>2.7137522886245762</v>
      </c>
      <c r="F99" s="127">
        <f t="shared" si="5"/>
        <v>209.69904048462635</v>
      </c>
      <c r="G99" s="128"/>
    </row>
    <row r="100" spans="3:7" x14ac:dyDescent="0.3">
      <c r="C100" s="119">
        <v>-11</v>
      </c>
      <c r="D100" s="120">
        <f t="shared" si="3"/>
        <v>48.653504412360391</v>
      </c>
      <c r="E100" s="121">
        <f t="shared" si="4"/>
        <v>2.7373737710879942</v>
      </c>
      <c r="F100" s="122">
        <f t="shared" si="5"/>
        <v>211.52433685679958</v>
      </c>
      <c r="G100" s="123"/>
    </row>
    <row r="101" spans="3:7" x14ac:dyDescent="0.3">
      <c r="C101" s="119">
        <v>-12</v>
      </c>
      <c r="D101" s="120">
        <f t="shared" si="3"/>
        <v>51.156971469192342</v>
      </c>
      <c r="E101" s="121">
        <f t="shared" si="4"/>
        <v>2.7604049349202375</v>
      </c>
      <c r="F101" s="122">
        <f t="shared" si="5"/>
        <v>213.30401769838201</v>
      </c>
      <c r="G101" s="123"/>
    </row>
    <row r="102" spans="3:7" x14ac:dyDescent="0.3">
      <c r="C102" s="119">
        <v>-13</v>
      </c>
      <c r="D102" s="120">
        <f t="shared" si="3"/>
        <v>53.810007064154092</v>
      </c>
      <c r="E102" s="121">
        <f t="shared" si="4"/>
        <v>2.7828397375536711</v>
      </c>
      <c r="F102" s="122">
        <f t="shared" si="5"/>
        <v>215.03761608369277</v>
      </c>
      <c r="G102" s="123"/>
    </row>
    <row r="103" spans="3:7" x14ac:dyDescent="0.3">
      <c r="C103" s="119">
        <v>-14</v>
      </c>
      <c r="D103" s="120">
        <f t="shared" si="3"/>
        <v>56.622721002422658</v>
      </c>
      <c r="E103" s="121">
        <f t="shared" si="4"/>
        <v>2.8046734882113271</v>
      </c>
      <c r="F103" s="122">
        <f t="shared" si="5"/>
        <v>216.72476954360258</v>
      </c>
      <c r="G103" s="123"/>
    </row>
    <row r="104" spans="3:7" x14ac:dyDescent="0.3">
      <c r="C104" s="119">
        <v>-15</v>
      </c>
      <c r="D104" s="120">
        <f t="shared" si="3"/>
        <v>59.605983026324623</v>
      </c>
      <c r="E104" s="121">
        <f t="shared" si="4"/>
        <v>2.825902823791461</v>
      </c>
      <c r="F104" s="122">
        <f t="shared" si="5"/>
        <v>218.36521820206744</v>
      </c>
      <c r="G104" s="123"/>
    </row>
    <row r="105" spans="3:7" x14ac:dyDescent="0.3">
      <c r="C105" s="119">
        <v>-16</v>
      </c>
      <c r="D105" s="120">
        <f t="shared" si="3"/>
        <v>62.771485555157476</v>
      </c>
      <c r="E105" s="121">
        <f t="shared" si="4"/>
        <v>2.8465256790039346</v>
      </c>
      <c r="F105" s="122">
        <f t="shared" si="5"/>
        <v>219.95880246848589</v>
      </c>
      <c r="G105" s="123"/>
    </row>
    <row r="106" spans="3:7" x14ac:dyDescent="0.3">
      <c r="C106" s="119">
        <v>-17</v>
      </c>
      <c r="D106" s="120">
        <f t="shared" si="3"/>
        <v>66.131812060344856</v>
      </c>
      <c r="E106" s="121">
        <f t="shared" si="4"/>
        <v>2.8665412511941395</v>
      </c>
      <c r="F106" s="122">
        <f t="shared" si="5"/>
        <v>221.50546031954715</v>
      </c>
      <c r="G106" s="123"/>
    </row>
    <row r="107" spans="3:7" x14ac:dyDescent="0.3">
      <c r="C107" s="119">
        <v>-18</v>
      </c>
      <c r="D107" s="120">
        <f t="shared" si="3"/>
        <v>69.700511622496862</v>
      </c>
      <c r="E107" s="121">
        <f t="shared" si="4"/>
        <v>2.88594996031763</v>
      </c>
      <c r="F107" s="122">
        <f t="shared" si="5"/>
        <v>223.00522420636233</v>
      </c>
      <c r="G107" s="123"/>
    </row>
    <row r="108" spans="3:7" x14ac:dyDescent="0.3">
      <c r="C108" s="119">
        <v>-19</v>
      </c>
      <c r="D108" s="120">
        <f t="shared" si="3"/>
        <v>73.492180273837647</v>
      </c>
      <c r="E108" s="121">
        <f t="shared" si="4"/>
        <v>2.9047534045491852</v>
      </c>
      <c r="F108" s="122">
        <f t="shared" si="5"/>
        <v>224.45821762425524</v>
      </c>
      <c r="G108" s="123"/>
    </row>
    <row r="109" spans="3:7" x14ac:dyDescent="0.3">
      <c r="C109" s="119">
        <v>-20</v>
      </c>
      <c r="D109" s="120">
        <f t="shared" si="3"/>
        <v>77.522549792681289</v>
      </c>
      <c r="E109" s="121">
        <f t="shared" si="4"/>
        <v>2.9229543120239452</v>
      </c>
      <c r="F109" s="122">
        <f t="shared" si="5"/>
        <v>225.8646513836685</v>
      </c>
      <c r="G109" s="123"/>
    </row>
    <row r="110" spans="3:7" x14ac:dyDescent="0.3">
      <c r="C110" s="119">
        <v>-21</v>
      </c>
      <c r="D110" s="120">
        <f t="shared" si="3"/>
        <v>81.808584686925627</v>
      </c>
      <c r="E110" s="121">
        <f t="shared" si="4"/>
        <v>2.9405564892157678</v>
      </c>
      <c r="F110" s="122">
        <f t="shared" si="5"/>
        <v>227.22481962121844</v>
      </c>
      <c r="G110" s="123"/>
    </row>
    <row r="111" spans="3:7" x14ac:dyDescent="0.3">
      <c r="C111" s="119">
        <v>-22</v>
      </c>
      <c r="D111" s="120">
        <f t="shared" si="3"/>
        <v>86.368588181732861</v>
      </c>
      <c r="E111" s="121">
        <f t="shared" si="4"/>
        <v>2.9575647664592917</v>
      </c>
      <c r="F111" s="122">
        <f t="shared" si="5"/>
        <v>228.53909559003617</v>
      </c>
      <c r="G111" s="123"/>
    </row>
    <row r="112" spans="3:7" x14ac:dyDescent="0.3">
      <c r="C112" s="119">
        <v>-23</v>
      </c>
      <c r="D112" s="120">
        <f t="shared" si="3"/>
        <v>91.222318113627395</v>
      </c>
      <c r="E112" s="121">
        <f t="shared" si="4"/>
        <v>2.9739849411178692</v>
      </c>
      <c r="F112" s="122">
        <f t="shared" si="5"/>
        <v>229.80792726819897</v>
      </c>
      <c r="G112" s="123"/>
    </row>
    <row r="113" spans="3:7" x14ac:dyDescent="0.3">
      <c r="C113" s="119">
        <v>-24</v>
      </c>
      <c r="D113" s="120">
        <f t="shared" si="3"/>
        <v>96.391113730220809</v>
      </c>
      <c r="E113" s="121">
        <f t="shared" si="4"/>
        <v>2.9898237188899146</v>
      </c>
      <c r="F113" s="122">
        <f t="shared" si="5"/>
        <v>231.03183282331159</v>
      </c>
      <c r="G113" s="123"/>
    </row>
    <row r="114" spans="3:7" x14ac:dyDescent="0.3">
      <c r="C114" s="119">
        <v>-25</v>
      </c>
      <c r="D114" s="120">
        <f t="shared" si="3"/>
        <v>101.89803450289459</v>
      </c>
      <c r="E114" s="121">
        <f t="shared" si="4"/>
        <v>3.0050886537319261</v>
      </c>
      <c r="F114" s="122">
        <f t="shared" si="5"/>
        <v>232.2113959701943</v>
      </c>
      <c r="G114" s="123"/>
    </row>
    <row r="115" spans="3:7" x14ac:dyDescent="0.3">
      <c r="C115" s="119">
        <v>-26</v>
      </c>
      <c r="D115" s="120">
        <f t="shared" si="3"/>
        <v>107.76801218035703</v>
      </c>
      <c r="E115" s="121">
        <f t="shared" si="4"/>
        <v>3.0197880868578997</v>
      </c>
      <c r="F115" s="122">
        <f t="shared" si="5"/>
        <v>233.34726125720132</v>
      </c>
      <c r="G115" s="123"/>
    </row>
    <row r="116" spans="3:7" x14ac:dyDescent="0.3">
      <c r="C116" s="119">
        <v>-27</v>
      </c>
      <c r="D116" s="120">
        <f t="shared" si="3"/>
        <v>114.02801744562146</v>
      </c>
      <c r="E116" s="121">
        <f t="shared" si="4"/>
        <v>3.0339310852528261</v>
      </c>
      <c r="F116" s="122">
        <f t="shared" si="5"/>
        <v>234.44012931499114</v>
      </c>
      <c r="G116" s="123"/>
    </row>
    <row r="117" spans="3:7" x14ac:dyDescent="0.3">
      <c r="C117" s="119">
        <v>-28</v>
      </c>
      <c r="D117" s="120">
        <f t="shared" si="3"/>
        <v>120.70724268930256</v>
      </c>
      <c r="E117" s="121">
        <f t="shared" si="4"/>
        <v>3.0475273801128018</v>
      </c>
      <c r="F117" s="122">
        <f t="shared" si="5"/>
        <v>235.49075209962561</v>
      </c>
      <c r="G117" s="123"/>
    </row>
    <row r="118" spans="3:7" x14ac:dyDescent="0.3">
      <c r="C118" s="119">
        <v>-29</v>
      </c>
      <c r="D118" s="120">
        <f t="shared" si="3"/>
        <v>127.83730258021589</v>
      </c>
      <c r="E118" s="121">
        <f t="shared" si="4"/>
        <v>3.06058730559679</v>
      </c>
      <c r="F118" s="122">
        <f t="shared" si="5"/>
        <v>236.49992815975199</v>
      </c>
      <c r="G118" s="123"/>
    </row>
    <row r="119" spans="3:7" x14ac:dyDescent="0.3">
      <c r="C119" s="119">
        <v>-30</v>
      </c>
      <c r="D119" s="120">
        <f t="shared" si="3"/>
        <v>135.45245430224773</v>
      </c>
      <c r="E119" s="121">
        <f t="shared" si="4"/>
        <v>3.0731217382456362</v>
      </c>
      <c r="F119" s="122">
        <f t="shared" si="5"/>
        <v>237.46849795534465</v>
      </c>
      <c r="G119" s="123"/>
    </row>
    <row r="120" spans="3:7" x14ac:dyDescent="0.3">
      <c r="C120" s="119">
        <v>-31</v>
      </c>
      <c r="D120" s="120">
        <f t="shared" si="3"/>
        <v>143.58983953690827</v>
      </c>
      <c r="E120" s="121">
        <f t="shared" si="4"/>
        <v>3.0851420373932354</v>
      </c>
      <c r="F120" s="122">
        <f t="shared" si="5"/>
        <v>238.39733925311367</v>
      </c>
      <c r="G120" s="123"/>
    </row>
    <row r="121" spans="3:7" x14ac:dyDescent="0.3">
      <c r="C121" s="119">
        <v>-32</v>
      </c>
      <c r="D121" s="120">
        <f t="shared" si="3"/>
        <v>152.28975050667162</v>
      </c>
      <c r="E121" s="121">
        <f t="shared" si="4"/>
        <v>3.0966599868631666</v>
      </c>
      <c r="F121" s="122">
        <f t="shared" si="5"/>
        <v>239.28736262124468</v>
      </c>
      <c r="G121" s="123"/>
    </row>
    <row r="122" spans="3:7" x14ac:dyDescent="0.3">
      <c r="C122" s="119">
        <v>-33</v>
      </c>
      <c r="D122" s="120">
        <f t="shared" si="3"/>
        <v>161.59592265843699</v>
      </c>
      <c r="E122" s="121">
        <f t="shared" si="4"/>
        <v>3.107687738212249</v>
      </c>
      <c r="F122" s="122">
        <f t="shared" si="5"/>
        <v>240.1395070436738</v>
      </c>
      <c r="G122" s="123"/>
    </row>
    <row r="123" spans="3:7" x14ac:dyDescent="0.3">
      <c r="C123" s="119">
        <v>-34</v>
      </c>
      <c r="D123" s="120">
        <f t="shared" si="3"/>
        <v>171.55585686281029</v>
      </c>
      <c r="E123" s="121">
        <f t="shared" si="4"/>
        <v>3.11823775575064</v>
      </c>
      <c r="F123" s="122">
        <f t="shared" si="5"/>
        <v>240.95473567164038</v>
      </c>
      <c r="G123" s="123"/>
    </row>
    <row r="124" spans="3:7" x14ac:dyDescent="0.3">
      <c r="C124" s="119">
        <v>-35</v>
      </c>
      <c r="D124" s="120">
        <f t="shared" si="3"/>
        <v>182.22117433761525</v>
      </c>
      <c r="E124" s="121">
        <f t="shared" si="4"/>
        <v>3.1283227635367621</v>
      </c>
      <c r="F124" s="122">
        <f t="shared" si="5"/>
        <v>241.73403172784072</v>
      </c>
      <c r="G124" s="123"/>
    </row>
    <row r="125" spans="3:7" x14ac:dyDescent="0.3">
      <c r="C125" s="119">
        <v>-36</v>
      </c>
      <c r="D125" s="120">
        <f t="shared" si="3"/>
        <v>193.64800787780558</v>
      </c>
      <c r="E125" s="121">
        <f t="shared" si="4"/>
        <v>3.1379556945148175</v>
      </c>
      <c r="F125" s="122">
        <f t="shared" si="5"/>
        <v>242.47839457614498</v>
      </c>
      <c r="G125" s="123"/>
    </row>
    <row r="126" spans="3:7" x14ac:dyDescent="0.3">
      <c r="C126" s="119">
        <v>-37</v>
      </c>
      <c r="D126" s="120">
        <f t="shared" si="3"/>
        <v>205.89743339414579</v>
      </c>
      <c r="E126" s="121">
        <f t="shared" si="4"/>
        <v>3.1471496419331917</v>
      </c>
      <c r="F126" s="122">
        <f t="shared" si="5"/>
        <v>243.18883596756481</v>
      </c>
      <c r="G126" s="123"/>
    </row>
    <row r="127" spans="3:7" x14ac:dyDescent="0.3">
      <c r="C127" s="119">
        <v>-38</v>
      </c>
      <c r="D127" s="120">
        <f t="shared" si="3"/>
        <v>219.03594623579917</v>
      </c>
      <c r="E127" s="121">
        <f t="shared" si="4"/>
        <v>3.155917813153986</v>
      </c>
      <c r="F127" s="122">
        <f t="shared" si="5"/>
        <v>243.86637647098982</v>
      </c>
      <c r="G127" s="123"/>
    </row>
    <row r="128" spans="3:7" x14ac:dyDescent="0.3">
      <c r="C128" s="119">
        <v>-39</v>
      </c>
      <c r="D128" s="120">
        <f t="shared" si="3"/>
        <v>233.13598730427083</v>
      </c>
      <c r="E128" s="121">
        <f t="shared" si="4"/>
        <v>3.1642734859373061</v>
      </c>
      <c r="F128" s="122">
        <f t="shared" si="5"/>
        <v>244.51204209515546</v>
      </c>
      <c r="G128" s="123"/>
    </row>
    <row r="129" spans="3:7" x14ac:dyDescent="0.3">
      <c r="C129" s="119">
        <v>-40</v>
      </c>
      <c r="D129" s="120">
        <f t="shared" si="3"/>
        <v>248.27652456599378</v>
      </c>
      <c r="E129" s="121">
        <f t="shared" si="4"/>
        <v>3.1722299672591112</v>
      </c>
      <c r="F129" s="122">
        <f t="shared" si="5"/>
        <v>245.12686110638589</v>
      </c>
      <c r="G129" s="123"/>
    </row>
  </sheetData>
  <mergeCells count="3">
    <mergeCell ref="C4:D4"/>
    <mergeCell ref="C5:D5"/>
    <mergeCell ref="C6:D6"/>
  </mergeCells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B2:W21"/>
  <sheetViews>
    <sheetView workbookViewId="0">
      <selection activeCell="G28" sqref="G28"/>
    </sheetView>
  </sheetViews>
  <sheetFormatPr defaultRowHeight="16.5" x14ac:dyDescent="0.3"/>
  <cols>
    <col min="1" max="1" width="4.25" customWidth="1"/>
    <col min="2" max="2" width="5.375" customWidth="1"/>
    <col min="3" max="3" width="10.75" customWidth="1"/>
    <col min="4" max="4" width="10.25" bestFit="1" customWidth="1"/>
    <col min="5" max="7" width="10.75" customWidth="1"/>
    <col min="8" max="9" width="10.25" customWidth="1"/>
    <col min="10" max="11" width="10.75" style="1" customWidth="1"/>
  </cols>
  <sheetData>
    <row r="2" spans="2:23" ht="17.25" thickBot="1" x14ac:dyDescent="0.35">
      <c r="B2" s="102" t="s">
        <v>97</v>
      </c>
    </row>
    <row r="3" spans="2:23" x14ac:dyDescent="0.3">
      <c r="C3" s="216" t="s">
        <v>98</v>
      </c>
      <c r="D3" s="218" t="s">
        <v>26</v>
      </c>
      <c r="E3" s="219"/>
      <c r="F3" s="219" t="s">
        <v>99</v>
      </c>
      <c r="G3" s="220"/>
      <c r="H3" s="221" t="s">
        <v>243</v>
      </c>
      <c r="I3" s="219"/>
      <c r="J3" s="219"/>
      <c r="K3" s="219"/>
      <c r="L3" s="222" t="s">
        <v>100</v>
      </c>
    </row>
    <row r="4" spans="2:23" ht="17.25" thickBot="1" x14ac:dyDescent="0.35">
      <c r="C4" s="217"/>
      <c r="D4" s="134" t="s">
        <v>242</v>
      </c>
      <c r="E4" s="135" t="s">
        <v>101</v>
      </c>
      <c r="F4" s="135" t="s">
        <v>102</v>
      </c>
      <c r="G4" s="136" t="s">
        <v>103</v>
      </c>
      <c r="H4" s="134" t="s">
        <v>242</v>
      </c>
      <c r="I4" s="135" t="s">
        <v>104</v>
      </c>
      <c r="J4" s="135" t="s">
        <v>104</v>
      </c>
      <c r="K4" s="135" t="s">
        <v>105</v>
      </c>
      <c r="L4" s="223"/>
    </row>
    <row r="5" spans="2:23" x14ac:dyDescent="0.3">
      <c r="C5" s="137">
        <v>4.2</v>
      </c>
      <c r="D5" s="138">
        <f>C5*30/(10+30)</f>
        <v>3.15</v>
      </c>
      <c r="E5" s="117">
        <f t="shared" ref="E5:E16" si="0">D5*255/3.3</f>
        <v>243.40909090909093</v>
      </c>
      <c r="F5" s="117">
        <f>(E5-E6)/(C5-C6)</f>
        <v>57.954545454545588</v>
      </c>
      <c r="G5" s="139">
        <f>(C5-C6)/(E5-E6)</f>
        <v>1.7254901960784275E-2</v>
      </c>
      <c r="H5" s="140"/>
      <c r="I5" s="117">
        <f>H5*255/3.3</f>
        <v>0</v>
      </c>
      <c r="J5" s="6"/>
      <c r="K5" s="115">
        <f>(H5-H6)/(J5-J6)</f>
        <v>1.32008547008547E-2</v>
      </c>
      <c r="L5" s="141">
        <f>(E5-J5)/E5*100</f>
        <v>100</v>
      </c>
      <c r="U5" s="142"/>
      <c r="V5" s="142"/>
      <c r="W5" s="143"/>
    </row>
    <row r="6" spans="2:23" x14ac:dyDescent="0.3">
      <c r="C6" s="144">
        <v>4.0999999999999996</v>
      </c>
      <c r="D6" s="145">
        <f>C6*30/(10+30)</f>
        <v>3.0749999999999997</v>
      </c>
      <c r="E6" s="122">
        <f t="shared" si="0"/>
        <v>237.61363636363635</v>
      </c>
      <c r="F6" s="122">
        <f t="shared" ref="F6:F15" si="1">(E6-E7)/(C6-C7)</f>
        <v>57.954545454545247</v>
      </c>
      <c r="G6" s="146">
        <f t="shared" ref="G6:G15" si="2">(C6-C7)/(E6-E7)</f>
        <v>1.7254901960784375E-2</v>
      </c>
      <c r="H6" s="147">
        <v>3.089</v>
      </c>
      <c r="I6" s="122">
        <f t="shared" ref="I6:I16" si="3">H6*255/3.3</f>
        <v>238.69545454545454</v>
      </c>
      <c r="J6" s="38">
        <v>234</v>
      </c>
      <c r="K6" s="120">
        <f t="shared" ref="K6:K13" si="4">(H6-H7)/(J6-J7)</f>
        <v>1.32008547008547E-2</v>
      </c>
      <c r="L6" s="148">
        <f t="shared" ref="L6:L13" si="5">(E6-J6)/E6*100</f>
        <v>1.5208034433285433</v>
      </c>
      <c r="U6" s="142"/>
      <c r="V6" s="142"/>
      <c r="W6" s="143"/>
    </row>
    <row r="7" spans="2:23" x14ac:dyDescent="0.3">
      <c r="C7" s="144">
        <v>4</v>
      </c>
      <c r="D7" s="145">
        <f t="shared" ref="D7:D16" si="6">C7*30/(10+30)</f>
        <v>3</v>
      </c>
      <c r="E7" s="122">
        <f t="shared" si="0"/>
        <v>231.81818181818184</v>
      </c>
      <c r="F7" s="122">
        <f t="shared" si="1"/>
        <v>57.95454545454556</v>
      </c>
      <c r="G7" s="146">
        <f t="shared" si="2"/>
        <v>1.7254901960784282E-2</v>
      </c>
      <c r="H7" s="147"/>
      <c r="I7" s="122">
        <f t="shared" si="3"/>
        <v>0</v>
      </c>
      <c r="J7" s="38"/>
      <c r="K7" s="120" t="e">
        <f t="shared" si="4"/>
        <v>#DIV/0!</v>
      </c>
      <c r="L7" s="148">
        <f t="shared" si="5"/>
        <v>100</v>
      </c>
      <c r="U7" s="142"/>
      <c r="V7" s="142"/>
      <c r="W7" s="143"/>
    </row>
    <row r="8" spans="2:23" x14ac:dyDescent="0.3">
      <c r="C8" s="144">
        <v>3.9</v>
      </c>
      <c r="D8" s="145">
        <f t="shared" si="6"/>
        <v>2.9249999999999998</v>
      </c>
      <c r="E8" s="122">
        <f t="shared" si="0"/>
        <v>226.02272727272728</v>
      </c>
      <c r="F8" s="122">
        <f t="shared" si="1"/>
        <v>57.954545454545276</v>
      </c>
      <c r="G8" s="146">
        <f t="shared" si="2"/>
        <v>1.7254901960784368E-2</v>
      </c>
      <c r="H8" s="147"/>
      <c r="I8" s="122">
        <f t="shared" si="3"/>
        <v>0</v>
      </c>
      <c r="J8" s="38"/>
      <c r="K8" s="120" t="e">
        <f t="shared" si="4"/>
        <v>#DIV/0!</v>
      </c>
      <c r="L8" s="148">
        <f t="shared" si="5"/>
        <v>100</v>
      </c>
      <c r="U8" s="142"/>
      <c r="V8" s="142"/>
      <c r="W8" s="143"/>
    </row>
    <row r="9" spans="2:23" x14ac:dyDescent="0.3">
      <c r="C9" s="144">
        <v>3.8</v>
      </c>
      <c r="D9" s="145">
        <f t="shared" si="6"/>
        <v>2.85</v>
      </c>
      <c r="E9" s="122">
        <f t="shared" si="0"/>
        <v>220.22727272727275</v>
      </c>
      <c r="F9" s="122">
        <f t="shared" si="1"/>
        <v>57.954545454545816</v>
      </c>
      <c r="G9" s="146">
        <f t="shared" si="2"/>
        <v>1.7254901960784205E-2</v>
      </c>
      <c r="H9" s="147"/>
      <c r="I9" s="122">
        <f t="shared" si="3"/>
        <v>0</v>
      </c>
      <c r="J9" s="38"/>
      <c r="K9" s="120" t="e">
        <f t="shared" si="4"/>
        <v>#DIV/0!</v>
      </c>
      <c r="L9" s="148">
        <f t="shared" si="5"/>
        <v>100</v>
      </c>
      <c r="U9" s="142"/>
      <c r="V9" s="142"/>
      <c r="W9" s="143"/>
    </row>
    <row r="10" spans="2:23" x14ac:dyDescent="0.3">
      <c r="C10" s="144">
        <v>3.7</v>
      </c>
      <c r="D10" s="145">
        <f t="shared" si="6"/>
        <v>2.7749999999999999</v>
      </c>
      <c r="E10" s="122">
        <f t="shared" si="0"/>
        <v>214.43181818181819</v>
      </c>
      <c r="F10" s="122">
        <f t="shared" si="1"/>
        <v>57.954545454545276</v>
      </c>
      <c r="G10" s="146">
        <f t="shared" si="2"/>
        <v>1.7254901960784368E-2</v>
      </c>
      <c r="H10" s="147"/>
      <c r="I10" s="122">
        <f t="shared" si="3"/>
        <v>0</v>
      </c>
      <c r="J10" s="38"/>
      <c r="K10" s="120" t="e">
        <f t="shared" si="4"/>
        <v>#DIV/0!</v>
      </c>
      <c r="L10" s="148">
        <f t="shared" si="5"/>
        <v>100</v>
      </c>
      <c r="U10" s="142"/>
      <c r="V10" s="142"/>
      <c r="W10" s="143"/>
    </row>
    <row r="11" spans="2:23" x14ac:dyDescent="0.3">
      <c r="C11" s="144">
        <v>3.6</v>
      </c>
      <c r="D11" s="145">
        <f t="shared" si="6"/>
        <v>2.7</v>
      </c>
      <c r="E11" s="122">
        <f t="shared" si="0"/>
        <v>208.63636363636365</v>
      </c>
      <c r="F11" s="122">
        <f t="shared" si="1"/>
        <v>57.95454545454556</v>
      </c>
      <c r="G11" s="146">
        <f t="shared" si="2"/>
        <v>1.7254901960784282E-2</v>
      </c>
      <c r="H11" s="147"/>
      <c r="I11" s="122">
        <f t="shared" si="3"/>
        <v>0</v>
      </c>
      <c r="J11" s="38"/>
      <c r="K11" s="120" t="e">
        <f t="shared" si="4"/>
        <v>#DIV/0!</v>
      </c>
      <c r="L11" s="148">
        <f t="shared" si="5"/>
        <v>100</v>
      </c>
      <c r="U11" s="142"/>
      <c r="V11" s="142"/>
      <c r="W11" s="143"/>
    </row>
    <row r="12" spans="2:23" x14ac:dyDescent="0.3">
      <c r="C12" s="144">
        <v>3.5</v>
      </c>
      <c r="D12" s="145">
        <f t="shared" si="6"/>
        <v>2.625</v>
      </c>
      <c r="E12" s="122">
        <f t="shared" si="0"/>
        <v>202.84090909090909</v>
      </c>
      <c r="F12" s="122">
        <f t="shared" si="1"/>
        <v>57.954545454545276</v>
      </c>
      <c r="G12" s="146">
        <f t="shared" si="2"/>
        <v>1.7254901960784368E-2</v>
      </c>
      <c r="H12" s="147"/>
      <c r="I12" s="122">
        <f t="shared" si="3"/>
        <v>0</v>
      </c>
      <c r="J12" s="38"/>
      <c r="K12" s="120" t="e">
        <f t="shared" si="4"/>
        <v>#DIV/0!</v>
      </c>
      <c r="L12" s="148">
        <f t="shared" si="5"/>
        <v>100</v>
      </c>
      <c r="U12" s="142"/>
      <c r="V12" s="142"/>
      <c r="W12" s="143"/>
    </row>
    <row r="13" spans="2:23" x14ac:dyDescent="0.3">
      <c r="C13" s="144">
        <v>3.4</v>
      </c>
      <c r="D13" s="145">
        <f t="shared" si="6"/>
        <v>2.5499999999999998</v>
      </c>
      <c r="E13" s="122">
        <f t="shared" si="0"/>
        <v>197.04545454545456</v>
      </c>
      <c r="F13" s="122">
        <f t="shared" si="1"/>
        <v>57.95454545454556</v>
      </c>
      <c r="G13" s="146">
        <f t="shared" si="2"/>
        <v>1.7254901960784282E-2</v>
      </c>
      <c r="H13" s="147"/>
      <c r="I13" s="122">
        <f t="shared" si="3"/>
        <v>0</v>
      </c>
      <c r="J13" s="38"/>
      <c r="K13" s="120" t="e">
        <f t="shared" si="4"/>
        <v>#DIV/0!</v>
      </c>
      <c r="L13" s="148">
        <f t="shared" si="5"/>
        <v>100</v>
      </c>
      <c r="M13" t="s">
        <v>106</v>
      </c>
      <c r="U13" s="142"/>
      <c r="V13" s="142"/>
      <c r="W13" s="143"/>
    </row>
    <row r="14" spans="2:23" x14ac:dyDescent="0.3">
      <c r="C14" s="149">
        <v>3.3</v>
      </c>
      <c r="D14" s="150">
        <f t="shared" si="6"/>
        <v>2.4750000000000001</v>
      </c>
      <c r="E14" s="151">
        <f t="shared" si="0"/>
        <v>191.25</v>
      </c>
      <c r="F14" s="122">
        <f t="shared" si="1"/>
        <v>57.954545454545581</v>
      </c>
      <c r="G14" s="146">
        <f t="shared" si="2"/>
        <v>1.7254901960784275E-2</v>
      </c>
      <c r="H14" s="152"/>
      <c r="I14" s="151">
        <f t="shared" si="3"/>
        <v>0</v>
      </c>
      <c r="J14" s="153"/>
      <c r="K14" s="154"/>
      <c r="L14" s="155"/>
      <c r="M14" t="s">
        <v>107</v>
      </c>
      <c r="U14" s="142"/>
      <c r="V14" s="142"/>
      <c r="W14" s="142"/>
    </row>
    <row r="15" spans="2:23" x14ac:dyDescent="0.3">
      <c r="C15" s="149">
        <v>3.19999999999999</v>
      </c>
      <c r="D15" s="150">
        <f t="shared" si="6"/>
        <v>2.3999999999999924</v>
      </c>
      <c r="E15" s="151">
        <f t="shared" si="0"/>
        <v>185.45454545454487</v>
      </c>
      <c r="F15" s="122">
        <f t="shared" si="1"/>
        <v>57.954545454545276</v>
      </c>
      <c r="G15" s="146">
        <f t="shared" si="2"/>
        <v>1.7254901960784368E-2</v>
      </c>
      <c r="H15" s="152"/>
      <c r="I15" s="151">
        <f t="shared" si="3"/>
        <v>0</v>
      </c>
      <c r="J15" s="153"/>
      <c r="K15" s="154"/>
      <c r="L15" s="155"/>
    </row>
    <row r="16" spans="2:23" ht="17.25" thickBot="1" x14ac:dyDescent="0.35">
      <c r="C16" s="156">
        <v>3.0999999999999899</v>
      </c>
      <c r="D16" s="157">
        <f t="shared" si="6"/>
        <v>2.3249999999999926</v>
      </c>
      <c r="E16" s="158">
        <f t="shared" si="0"/>
        <v>179.65909090909034</v>
      </c>
      <c r="F16" s="158"/>
      <c r="G16" s="159"/>
      <c r="H16" s="160"/>
      <c r="I16" s="158">
        <f t="shared" si="3"/>
        <v>0</v>
      </c>
      <c r="J16" s="161"/>
      <c r="K16" s="161"/>
      <c r="L16" s="162"/>
      <c r="M16">
        <v>191</v>
      </c>
    </row>
    <row r="17" spans="3:5" x14ac:dyDescent="0.3">
      <c r="D17" t="s">
        <v>108</v>
      </c>
      <c r="E17" t="s">
        <v>109</v>
      </c>
    </row>
    <row r="19" spans="3:5" x14ac:dyDescent="0.3">
      <c r="C19" t="s">
        <v>110</v>
      </c>
    </row>
    <row r="20" spans="3:5" x14ac:dyDescent="0.3">
      <c r="C20" t="s">
        <v>111</v>
      </c>
    </row>
    <row r="21" spans="3:5" x14ac:dyDescent="0.3">
      <c r="C21" t="s">
        <v>112</v>
      </c>
    </row>
  </sheetData>
  <mergeCells count="5">
    <mergeCell ref="C3:C4"/>
    <mergeCell ref="D3:E3"/>
    <mergeCell ref="F3:G3"/>
    <mergeCell ref="H3:K3"/>
    <mergeCell ref="L3:L4"/>
  </mergeCells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173"/>
  <sheetViews>
    <sheetView topLeftCell="A139" workbookViewId="0">
      <selection activeCell="P162" sqref="P162"/>
    </sheetView>
  </sheetViews>
  <sheetFormatPr defaultRowHeight="16.5" x14ac:dyDescent="0.3"/>
  <cols>
    <col min="2" max="2" width="5.375" style="4" customWidth="1"/>
    <col min="3" max="3" width="19.125" customWidth="1"/>
    <col min="11" max="11" width="12.375" bestFit="1" customWidth="1"/>
    <col min="13" max="13" width="12.375" bestFit="1" customWidth="1"/>
    <col min="14" max="14" width="13.125" bestFit="1" customWidth="1"/>
    <col min="15" max="16" width="18.5" bestFit="1" customWidth="1"/>
    <col min="17" max="17" width="8.75" bestFit="1" customWidth="1"/>
  </cols>
  <sheetData>
    <row r="1" spans="2:18" ht="17.25" thickBot="1" x14ac:dyDescent="0.35">
      <c r="B1" s="4" t="s">
        <v>113</v>
      </c>
    </row>
    <row r="2" spans="2:18" x14ac:dyDescent="0.3">
      <c r="C2" s="16"/>
      <c r="D2" s="37"/>
      <c r="E2" s="207" t="s">
        <v>114</v>
      </c>
      <c r="F2" s="207"/>
      <c r="G2" s="207" t="s">
        <v>115</v>
      </c>
      <c r="H2" s="207"/>
      <c r="I2" s="207" t="s">
        <v>116</v>
      </c>
      <c r="J2" s="207"/>
      <c r="K2" s="37" t="s">
        <v>117</v>
      </c>
      <c r="L2" s="207" t="s">
        <v>118</v>
      </c>
      <c r="M2" s="207"/>
      <c r="N2" s="207" t="s">
        <v>119</v>
      </c>
      <c r="O2" s="207"/>
      <c r="P2" s="207"/>
      <c r="Q2" s="37" t="s">
        <v>120</v>
      </c>
      <c r="R2" s="17" t="s">
        <v>121</v>
      </c>
    </row>
    <row r="3" spans="2:18" ht="17.25" thickBot="1" x14ac:dyDescent="0.35">
      <c r="C3" s="12"/>
      <c r="D3" s="13"/>
      <c r="E3" s="13" t="s">
        <v>122</v>
      </c>
      <c r="F3" s="13" t="s">
        <v>123</v>
      </c>
      <c r="G3" s="13" t="s">
        <v>122</v>
      </c>
      <c r="H3" s="13" t="s">
        <v>123</v>
      </c>
      <c r="I3" s="13" t="s">
        <v>122</v>
      </c>
      <c r="J3" s="13" t="s">
        <v>124</v>
      </c>
      <c r="K3" s="13" t="s">
        <v>125</v>
      </c>
      <c r="L3" s="13" t="s">
        <v>122</v>
      </c>
      <c r="M3" s="13" t="s">
        <v>123</v>
      </c>
      <c r="N3" s="13" t="s">
        <v>126</v>
      </c>
      <c r="O3" s="13" t="s">
        <v>127</v>
      </c>
      <c r="P3" s="13" t="s">
        <v>128</v>
      </c>
      <c r="Q3" s="13"/>
      <c r="R3" s="18"/>
    </row>
    <row r="4" spans="2:18" x14ac:dyDescent="0.3">
      <c r="C4" s="163" t="s">
        <v>129</v>
      </c>
      <c r="D4" s="93" t="s">
        <v>130</v>
      </c>
      <c r="E4" s="37">
        <v>1.8</v>
      </c>
      <c r="F4" s="37">
        <v>5.5</v>
      </c>
      <c r="G4" s="164">
        <v>3.3</v>
      </c>
      <c r="H4" s="37">
        <v>28</v>
      </c>
      <c r="I4" s="165" t="s">
        <v>131</v>
      </c>
      <c r="J4" s="37">
        <v>980</v>
      </c>
      <c r="K4" s="37">
        <v>82</v>
      </c>
      <c r="L4" s="37"/>
      <c r="M4" s="37">
        <v>85</v>
      </c>
      <c r="N4" s="37" t="s">
        <v>132</v>
      </c>
      <c r="O4" s="37" t="s">
        <v>132</v>
      </c>
      <c r="P4" s="37" t="s">
        <v>132</v>
      </c>
      <c r="Q4" s="37" t="s">
        <v>133</v>
      </c>
      <c r="R4" s="17" t="s">
        <v>134</v>
      </c>
    </row>
    <row r="5" spans="2:18" x14ac:dyDescent="0.3">
      <c r="C5" s="80" t="s">
        <v>135</v>
      </c>
      <c r="D5" s="81" t="s">
        <v>136</v>
      </c>
      <c r="E5" s="7">
        <v>2.7</v>
      </c>
      <c r="F5" s="7">
        <v>14</v>
      </c>
      <c r="G5" s="166" t="s">
        <v>131</v>
      </c>
      <c r="H5" s="7">
        <v>30</v>
      </c>
      <c r="I5" s="7">
        <v>800</v>
      </c>
      <c r="J5" s="7">
        <v>1250</v>
      </c>
      <c r="K5" s="7">
        <v>78</v>
      </c>
      <c r="L5" s="7"/>
      <c r="M5" s="7"/>
      <c r="N5" s="7" t="s">
        <v>137</v>
      </c>
      <c r="O5" s="166" t="s">
        <v>131</v>
      </c>
      <c r="P5" s="7" t="s">
        <v>137</v>
      </c>
      <c r="Q5" s="7" t="s">
        <v>138</v>
      </c>
      <c r="R5" s="8" t="s">
        <v>139</v>
      </c>
    </row>
    <row r="6" spans="2:18" ht="17.25" thickBot="1" x14ac:dyDescent="0.35">
      <c r="C6" s="85" t="s">
        <v>140</v>
      </c>
      <c r="D6" s="86" t="s">
        <v>141</v>
      </c>
      <c r="E6" s="13">
        <v>2.7</v>
      </c>
      <c r="F6" s="13">
        <v>5.5</v>
      </c>
      <c r="G6" s="13">
        <v>3</v>
      </c>
      <c r="H6" s="13">
        <v>24</v>
      </c>
      <c r="I6" s="13">
        <v>2100</v>
      </c>
      <c r="J6" s="13">
        <v>3000</v>
      </c>
      <c r="K6" s="13">
        <v>86</v>
      </c>
      <c r="L6" s="13"/>
      <c r="M6" s="13"/>
      <c r="N6" s="13" t="s">
        <v>137</v>
      </c>
      <c r="O6" s="167" t="s">
        <v>131</v>
      </c>
      <c r="P6" s="13" t="s">
        <v>137</v>
      </c>
      <c r="Q6" s="13" t="s">
        <v>138</v>
      </c>
      <c r="R6" s="18" t="s">
        <v>139</v>
      </c>
    </row>
    <row r="8" spans="2:18" x14ac:dyDescent="0.3">
      <c r="B8" s="4" t="s">
        <v>142</v>
      </c>
    </row>
    <row r="9" spans="2:18" x14ac:dyDescent="0.3">
      <c r="C9" t="s">
        <v>143</v>
      </c>
    </row>
    <row r="29" spans="2:2" x14ac:dyDescent="0.3">
      <c r="B29" s="4" t="s">
        <v>144</v>
      </c>
    </row>
    <row r="45" spans="2:12" x14ac:dyDescent="0.3">
      <c r="B45" s="4" t="s">
        <v>140</v>
      </c>
    </row>
    <row r="46" spans="2:12" ht="17.25" thickBot="1" x14ac:dyDescent="0.35"/>
    <row r="47" spans="2:12" x14ac:dyDescent="0.3">
      <c r="J47" s="36" t="s">
        <v>145</v>
      </c>
      <c r="K47" s="37">
        <v>8</v>
      </c>
      <c r="L47" s="17" t="s">
        <v>146</v>
      </c>
    </row>
    <row r="48" spans="2:12" x14ac:dyDescent="0.3">
      <c r="J48" s="23" t="s">
        <v>147</v>
      </c>
      <c r="K48" s="7">
        <v>1.2549999999999999</v>
      </c>
      <c r="L48" s="8" t="s">
        <v>146</v>
      </c>
    </row>
    <row r="49" spans="3:12" x14ac:dyDescent="0.3">
      <c r="J49" s="23" t="s">
        <v>195</v>
      </c>
      <c r="K49" s="7">
        <v>1</v>
      </c>
      <c r="L49" s="8" t="s">
        <v>149</v>
      </c>
    </row>
    <row r="50" spans="3:12" ht="17.25" thickBot="1" x14ac:dyDescent="0.35">
      <c r="J50" s="30" t="s">
        <v>148</v>
      </c>
      <c r="K50" s="13">
        <f>(K47/K48-1)*K49</f>
        <v>5.3745019920318731</v>
      </c>
      <c r="L50" s="18" t="s">
        <v>149</v>
      </c>
    </row>
    <row r="51" spans="3:12" x14ac:dyDescent="0.3">
      <c r="J51" s="168" t="s">
        <v>150</v>
      </c>
      <c r="K51" s="169">
        <v>5</v>
      </c>
      <c r="L51" s="169" t="s">
        <v>151</v>
      </c>
    </row>
    <row r="52" spans="3:12" x14ac:dyDescent="0.3">
      <c r="J52" s="168" t="s">
        <v>152</v>
      </c>
      <c r="K52">
        <f>1/(2*3.14*K51*K50)*1000</f>
        <v>5.9255971632679074</v>
      </c>
      <c r="L52" s="169" t="s">
        <v>153</v>
      </c>
    </row>
    <row r="63" spans="3:12" x14ac:dyDescent="0.3">
      <c r="C63" t="s">
        <v>154</v>
      </c>
    </row>
    <row r="64" spans="3:12" x14ac:dyDescent="0.3">
      <c r="C64" t="s">
        <v>155</v>
      </c>
    </row>
    <row r="81" spans="3:3" x14ac:dyDescent="0.3">
      <c r="C81" t="s">
        <v>156</v>
      </c>
    </row>
    <row r="112" ht="17.25" thickBot="1" x14ac:dyDescent="0.35"/>
    <row r="113" spans="3:12" x14ac:dyDescent="0.3">
      <c r="C113" s="90" t="s">
        <v>157</v>
      </c>
      <c r="D113" s="37">
        <v>5</v>
      </c>
      <c r="E113" s="37">
        <v>5</v>
      </c>
      <c r="F113" s="37">
        <v>3.3</v>
      </c>
      <c r="G113" s="37">
        <v>3.3</v>
      </c>
      <c r="H113" s="37">
        <v>3.3</v>
      </c>
      <c r="I113" s="37">
        <v>3.3</v>
      </c>
      <c r="J113" s="37">
        <v>3.3</v>
      </c>
      <c r="K113" s="37">
        <v>3.3</v>
      </c>
      <c r="L113" s="17" t="s">
        <v>158</v>
      </c>
    </row>
    <row r="114" spans="3:12" x14ac:dyDescent="0.3">
      <c r="C114" s="94" t="s">
        <v>145</v>
      </c>
      <c r="D114" s="7">
        <v>12</v>
      </c>
      <c r="E114" s="7">
        <v>12</v>
      </c>
      <c r="F114" s="7">
        <v>12</v>
      </c>
      <c r="G114" s="7">
        <v>12</v>
      </c>
      <c r="H114" s="7">
        <v>5</v>
      </c>
      <c r="I114" s="7">
        <v>5</v>
      </c>
      <c r="J114" s="7">
        <v>20</v>
      </c>
      <c r="K114" s="7">
        <v>20</v>
      </c>
      <c r="L114" s="8" t="s">
        <v>159</v>
      </c>
    </row>
    <row r="115" spans="3:12" ht="17.25" thickBot="1" x14ac:dyDescent="0.35">
      <c r="C115" s="91" t="s">
        <v>160</v>
      </c>
      <c r="D115" s="13">
        <v>350</v>
      </c>
      <c r="E115" s="13">
        <v>350</v>
      </c>
      <c r="F115" s="13">
        <v>350</v>
      </c>
      <c r="G115" s="13">
        <v>350</v>
      </c>
      <c r="H115" s="13">
        <v>500</v>
      </c>
      <c r="I115" s="13">
        <v>750</v>
      </c>
      <c r="J115" s="13">
        <v>100</v>
      </c>
      <c r="K115" s="13">
        <v>100</v>
      </c>
      <c r="L115" s="18"/>
    </row>
    <row r="116" spans="3:12" x14ac:dyDescent="0.3">
      <c r="C116" s="90" t="s">
        <v>161</v>
      </c>
      <c r="D116" s="37" t="s">
        <v>162</v>
      </c>
      <c r="E116" s="37" t="s">
        <v>163</v>
      </c>
      <c r="F116" s="37" t="s">
        <v>162</v>
      </c>
      <c r="G116" s="37" t="s">
        <v>163</v>
      </c>
      <c r="H116" s="37" t="s">
        <v>162</v>
      </c>
      <c r="I116" s="37" t="s">
        <v>163</v>
      </c>
      <c r="J116" s="37" t="s">
        <v>162</v>
      </c>
      <c r="K116" s="37" t="s">
        <v>163</v>
      </c>
      <c r="L116" s="17"/>
    </row>
    <row r="117" spans="3:12" x14ac:dyDescent="0.3">
      <c r="C117" s="94" t="s">
        <v>164</v>
      </c>
      <c r="D117" s="7">
        <v>22</v>
      </c>
      <c r="E117" s="7">
        <v>22</v>
      </c>
      <c r="F117" s="7">
        <v>22</v>
      </c>
      <c r="G117" s="7">
        <v>22</v>
      </c>
      <c r="H117" s="7">
        <v>10</v>
      </c>
      <c r="I117" s="7">
        <v>22</v>
      </c>
      <c r="J117" s="7">
        <v>22</v>
      </c>
      <c r="K117" s="7">
        <v>22</v>
      </c>
      <c r="L117" s="8" t="s">
        <v>165</v>
      </c>
    </row>
    <row r="118" spans="3:12" x14ac:dyDescent="0.3">
      <c r="C118" s="94" t="s">
        <v>166</v>
      </c>
      <c r="D118" s="7">
        <v>10</v>
      </c>
      <c r="E118" s="7">
        <v>10</v>
      </c>
      <c r="F118" s="7">
        <v>10</v>
      </c>
      <c r="G118" s="7">
        <v>10</v>
      </c>
      <c r="H118" s="7">
        <v>10</v>
      </c>
      <c r="I118" s="7">
        <v>22</v>
      </c>
      <c r="J118" s="7">
        <v>4.7</v>
      </c>
      <c r="K118" s="7">
        <v>10</v>
      </c>
      <c r="L118" s="8" t="s">
        <v>167</v>
      </c>
    </row>
    <row r="119" spans="3:12" x14ac:dyDescent="0.3">
      <c r="C119" s="94" t="s">
        <v>168</v>
      </c>
      <c r="D119" s="7">
        <v>330</v>
      </c>
      <c r="E119" s="7">
        <v>330</v>
      </c>
      <c r="F119" s="7">
        <v>330</v>
      </c>
      <c r="G119" s="7">
        <v>330</v>
      </c>
      <c r="H119" s="7">
        <v>1000</v>
      </c>
      <c r="I119" s="7">
        <v>1000</v>
      </c>
      <c r="J119" s="7">
        <v>470</v>
      </c>
      <c r="K119" s="7">
        <v>470</v>
      </c>
      <c r="L119" s="8" t="s">
        <v>169</v>
      </c>
    </row>
    <row r="120" spans="3:12" x14ac:dyDescent="0.3">
      <c r="C120" s="94" t="s">
        <v>170</v>
      </c>
      <c r="D120" s="7" t="s">
        <v>171</v>
      </c>
      <c r="E120" s="7" t="s">
        <v>171</v>
      </c>
      <c r="F120" s="7" t="s">
        <v>171</v>
      </c>
      <c r="G120" s="7" t="s">
        <v>171</v>
      </c>
      <c r="H120" s="7" t="s">
        <v>171</v>
      </c>
      <c r="I120" s="7" t="s">
        <v>171</v>
      </c>
      <c r="J120" s="7" t="s">
        <v>171</v>
      </c>
      <c r="K120" s="7" t="s">
        <v>171</v>
      </c>
      <c r="L120" s="8" t="s">
        <v>172</v>
      </c>
    </row>
    <row r="121" spans="3:12" x14ac:dyDescent="0.3">
      <c r="C121" s="94" t="s">
        <v>173</v>
      </c>
      <c r="D121" s="7">
        <v>15</v>
      </c>
      <c r="E121" s="7">
        <v>33</v>
      </c>
      <c r="F121" s="7">
        <v>6.8</v>
      </c>
      <c r="G121" s="7">
        <v>15</v>
      </c>
      <c r="H121" s="7">
        <v>10</v>
      </c>
      <c r="I121" s="7">
        <v>22</v>
      </c>
      <c r="J121" s="7">
        <v>10</v>
      </c>
      <c r="K121" s="7">
        <v>33</v>
      </c>
      <c r="L121" s="8" t="s">
        <v>174</v>
      </c>
    </row>
    <row r="122" spans="3:12" x14ac:dyDescent="0.3">
      <c r="C122" s="94" t="s">
        <v>196</v>
      </c>
      <c r="D122" s="7">
        <v>10.199999999999999</v>
      </c>
      <c r="E122" s="7">
        <v>10.199999999999999</v>
      </c>
      <c r="F122" s="7">
        <v>10.199999999999999</v>
      </c>
      <c r="G122" s="7">
        <v>10.199999999999999</v>
      </c>
      <c r="H122" s="7">
        <v>10</v>
      </c>
      <c r="I122" s="7">
        <v>10</v>
      </c>
      <c r="J122" s="7">
        <v>10</v>
      </c>
      <c r="K122" s="7">
        <v>10</v>
      </c>
      <c r="L122" s="8" t="s">
        <v>175</v>
      </c>
    </row>
    <row r="123" spans="3:12" x14ac:dyDescent="0.3">
      <c r="C123" s="94" t="s">
        <v>197</v>
      </c>
      <c r="D123" s="7">
        <v>86.6</v>
      </c>
      <c r="E123" s="7">
        <v>86.6</v>
      </c>
      <c r="F123" s="7">
        <v>86.6</v>
      </c>
      <c r="G123" s="7">
        <v>86.6</v>
      </c>
      <c r="H123" s="7">
        <v>30.1</v>
      </c>
      <c r="I123" s="7">
        <v>30.1</v>
      </c>
      <c r="J123" s="7">
        <v>150</v>
      </c>
      <c r="K123" s="7">
        <v>150</v>
      </c>
      <c r="L123" s="8" t="s">
        <v>175</v>
      </c>
    </row>
    <row r="124" spans="3:12" ht="17.25" thickBot="1" x14ac:dyDescent="0.35">
      <c r="C124" s="91" t="s">
        <v>176</v>
      </c>
      <c r="D124" s="13">
        <v>100</v>
      </c>
      <c r="E124" s="13">
        <v>100</v>
      </c>
      <c r="F124" s="13">
        <v>100</v>
      </c>
      <c r="G124" s="13">
        <v>100</v>
      </c>
      <c r="H124" s="13">
        <v>100</v>
      </c>
      <c r="I124" s="13">
        <v>100</v>
      </c>
      <c r="J124" s="13">
        <v>100</v>
      </c>
      <c r="K124" s="13">
        <v>100</v>
      </c>
      <c r="L124" s="18" t="s">
        <v>175</v>
      </c>
    </row>
    <row r="138" spans="13:19" ht="17.25" thickBot="1" x14ac:dyDescent="0.35">
      <c r="M138" s="4" t="s">
        <v>177</v>
      </c>
    </row>
    <row r="139" spans="13:19" x14ac:dyDescent="0.3">
      <c r="M139" s="36" t="s">
        <v>145</v>
      </c>
      <c r="N139" s="70">
        <v>8</v>
      </c>
      <c r="O139" s="70">
        <v>8</v>
      </c>
      <c r="P139" s="70">
        <v>12</v>
      </c>
      <c r="Q139" s="37">
        <f>(Q142/Q141+1)*Q140</f>
        <v>8.2829999999999995</v>
      </c>
      <c r="R139" s="37">
        <f>(R142/R141+1)*R140</f>
        <v>8.032</v>
      </c>
      <c r="S139" s="17" t="s">
        <v>146</v>
      </c>
    </row>
    <row r="140" spans="13:19" x14ac:dyDescent="0.3">
      <c r="M140" s="23" t="s">
        <v>147</v>
      </c>
      <c r="N140" s="7">
        <v>1.2549999999999999</v>
      </c>
      <c r="O140" s="7">
        <v>1.2549999999999999</v>
      </c>
      <c r="P140" s="7">
        <v>1.2549999999999999</v>
      </c>
      <c r="Q140" s="7">
        <v>1.2549999999999999</v>
      </c>
      <c r="R140" s="7">
        <v>1.2549999999999999</v>
      </c>
      <c r="S140" s="8" t="s">
        <v>146</v>
      </c>
    </row>
    <row r="141" spans="13:19" x14ac:dyDescent="0.3">
      <c r="M141" s="23" t="s">
        <v>198</v>
      </c>
      <c r="N141" s="7">
        <v>11</v>
      </c>
      <c r="O141" s="7">
        <v>10</v>
      </c>
      <c r="P141" s="7">
        <v>10.199999999999999</v>
      </c>
      <c r="Q141" s="7">
        <v>10</v>
      </c>
      <c r="R141" s="7">
        <v>10</v>
      </c>
      <c r="S141" s="8" t="s">
        <v>149</v>
      </c>
    </row>
    <row r="142" spans="13:19" ht="17.25" thickBot="1" x14ac:dyDescent="0.35">
      <c r="M142" s="30" t="s">
        <v>199</v>
      </c>
      <c r="N142" s="22">
        <f>(N139/N140-1)*N141</f>
        <v>59.119521912350606</v>
      </c>
      <c r="O142" s="22">
        <f>(O139/O140-1)*O141</f>
        <v>53.745019920318732</v>
      </c>
      <c r="P142" s="22">
        <f>(P139/P140-1)*P141</f>
        <v>87.329880478087645</v>
      </c>
      <c r="Q142" s="170">
        <v>56</v>
      </c>
      <c r="R142" s="170">
        <v>54</v>
      </c>
      <c r="S142" s="18" t="s">
        <v>149</v>
      </c>
    </row>
    <row r="143" spans="13:19" x14ac:dyDescent="0.3">
      <c r="M143" s="168" t="s">
        <v>150</v>
      </c>
      <c r="N143" s="169">
        <v>5</v>
      </c>
      <c r="O143" s="169">
        <v>5</v>
      </c>
      <c r="P143" s="169">
        <v>5</v>
      </c>
      <c r="Q143" s="169" t="s">
        <v>151</v>
      </c>
    </row>
    <row r="144" spans="13:19" x14ac:dyDescent="0.3">
      <c r="M144" s="168" t="s">
        <v>152</v>
      </c>
      <c r="N144">
        <f>1/(2*3.14*N143*N142)*1000</f>
        <v>0.53869065120617332</v>
      </c>
      <c r="O144">
        <f>1/(2*3.14*O143*O142)*1000</f>
        <v>0.59255971632679061</v>
      </c>
      <c r="P144">
        <f>1/(2*3.14*P143*P142)*1000</f>
        <v>0.36467625494979</v>
      </c>
      <c r="Q144" s="169" t="s">
        <v>153</v>
      </c>
    </row>
    <row r="145" spans="3:18" x14ac:dyDescent="0.3">
      <c r="M145" s="168" t="s">
        <v>194</v>
      </c>
      <c r="Q145" s="169">
        <v>4</v>
      </c>
      <c r="R145" s="169">
        <v>4</v>
      </c>
    </row>
    <row r="146" spans="3:18" ht="17.25" thickBot="1" x14ac:dyDescent="0.35">
      <c r="M146" s="168" t="s">
        <v>193</v>
      </c>
      <c r="Q146">
        <f>Q145*Q142/(Q141+Q142)</f>
        <v>3.393939393939394</v>
      </c>
      <c r="R146">
        <f>R145*R142/(R141+R142)</f>
        <v>3.375</v>
      </c>
    </row>
    <row r="147" spans="3:18" ht="17.25" thickBot="1" x14ac:dyDescent="0.35">
      <c r="C147" s="171" t="s">
        <v>178</v>
      </c>
      <c r="D147" s="172" t="s">
        <v>179</v>
      </c>
      <c r="E147" s="172" t="s">
        <v>180</v>
      </c>
      <c r="F147" s="172" t="s">
        <v>181</v>
      </c>
      <c r="G147" s="172" t="s">
        <v>182</v>
      </c>
      <c r="H147" s="172" t="s">
        <v>183</v>
      </c>
      <c r="I147" s="173" t="s">
        <v>184</v>
      </c>
    </row>
    <row r="148" spans="3:18" ht="17.25" thickBot="1" x14ac:dyDescent="0.35">
      <c r="C148" s="224" t="s">
        <v>185</v>
      </c>
      <c r="D148" s="86" t="s">
        <v>140</v>
      </c>
      <c r="E148" s="86" t="s">
        <v>141</v>
      </c>
      <c r="F148" s="86" t="s">
        <v>186</v>
      </c>
      <c r="G148" s="13"/>
      <c r="H148" s="174">
        <v>2850</v>
      </c>
      <c r="I148" s="18" t="s">
        <v>187</v>
      </c>
    </row>
    <row r="149" spans="3:18" x14ac:dyDescent="0.3">
      <c r="C149" s="213"/>
      <c r="D149" s="7" t="s">
        <v>171</v>
      </c>
      <c r="E149" s="37" t="s">
        <v>188</v>
      </c>
      <c r="F149" s="37" t="s">
        <v>189</v>
      </c>
      <c r="G149" s="175"/>
      <c r="H149" s="176">
        <v>520</v>
      </c>
      <c r="I149" s="8" t="s">
        <v>187</v>
      </c>
      <c r="M149" s="23" t="s">
        <v>147</v>
      </c>
      <c r="N149" s="7">
        <v>1.2549999999999999</v>
      </c>
      <c r="O149" s="7">
        <v>1.2549999999999999</v>
      </c>
      <c r="P149" s="8" t="s">
        <v>76</v>
      </c>
    </row>
    <row r="150" spans="3:18" x14ac:dyDescent="0.3">
      <c r="C150" s="213"/>
      <c r="D150" s="7" t="s">
        <v>190</v>
      </c>
      <c r="E150" s="7" t="s">
        <v>191</v>
      </c>
      <c r="F150" s="7" t="s">
        <v>192</v>
      </c>
      <c r="G150" s="7"/>
      <c r="H150" s="177">
        <v>2150</v>
      </c>
      <c r="I150" s="8" t="s">
        <v>187</v>
      </c>
      <c r="M150" s="23" t="s">
        <v>195</v>
      </c>
      <c r="N150" s="7">
        <v>10</v>
      </c>
      <c r="O150" s="7">
        <v>10</v>
      </c>
      <c r="P150" s="8" t="s">
        <v>91</v>
      </c>
    </row>
    <row r="151" spans="3:18" ht="17.25" thickBot="1" x14ac:dyDescent="0.35">
      <c r="M151" s="182" t="s">
        <v>148</v>
      </c>
      <c r="N151" s="183">
        <v>56</v>
      </c>
      <c r="O151" s="183">
        <v>54</v>
      </c>
      <c r="P151" s="18" t="s">
        <v>91</v>
      </c>
    </row>
    <row r="152" spans="3:18" ht="17.25" thickBot="1" x14ac:dyDescent="0.35">
      <c r="M152" s="184" t="s">
        <v>315</v>
      </c>
      <c r="N152" s="185" t="s">
        <v>316</v>
      </c>
      <c r="O152" s="186" t="s">
        <v>316</v>
      </c>
    </row>
    <row r="153" spans="3:18" x14ac:dyDescent="0.3">
      <c r="M153" s="45">
        <v>7</v>
      </c>
      <c r="N153" s="187">
        <f>$M153*N$150/(N$150+N$151)</f>
        <v>1.0606060606060606</v>
      </c>
      <c r="O153" s="141">
        <f t="shared" ref="O153:O173" si="0">$M153*O$150/(O$150+O$151)</f>
        <v>1.09375</v>
      </c>
    </row>
    <row r="154" spans="3:18" x14ac:dyDescent="0.3">
      <c r="M154" s="9">
        <v>7.1</v>
      </c>
      <c r="N154" s="20">
        <f t="shared" ref="N154:N173" si="1">$M154*N$150/(N$150+N$151)</f>
        <v>1.0757575757575757</v>
      </c>
      <c r="O154" s="148">
        <f t="shared" si="0"/>
        <v>1.109375</v>
      </c>
    </row>
    <row r="155" spans="3:18" x14ac:dyDescent="0.3">
      <c r="M155" s="48">
        <v>7.2</v>
      </c>
      <c r="N155" s="20">
        <f t="shared" si="1"/>
        <v>1.0909090909090908</v>
      </c>
      <c r="O155" s="148">
        <f t="shared" si="0"/>
        <v>1.125</v>
      </c>
    </row>
    <row r="156" spans="3:18" x14ac:dyDescent="0.3">
      <c r="M156" s="9">
        <v>7.3</v>
      </c>
      <c r="N156" s="20">
        <f t="shared" si="1"/>
        <v>1.106060606060606</v>
      </c>
      <c r="O156" s="148">
        <f t="shared" si="0"/>
        <v>1.140625</v>
      </c>
    </row>
    <row r="157" spans="3:18" x14ac:dyDescent="0.3">
      <c r="M157" s="48">
        <v>7.4</v>
      </c>
      <c r="N157" s="20">
        <f t="shared" si="1"/>
        <v>1.1212121212121211</v>
      </c>
      <c r="O157" s="148">
        <f t="shared" si="0"/>
        <v>1.15625</v>
      </c>
    </row>
    <row r="158" spans="3:18" x14ac:dyDescent="0.3">
      <c r="M158" s="9">
        <v>7.5</v>
      </c>
      <c r="N158" s="20">
        <f t="shared" si="1"/>
        <v>1.1363636363636365</v>
      </c>
      <c r="O158" s="148">
        <f t="shared" si="0"/>
        <v>1.171875</v>
      </c>
    </row>
    <row r="159" spans="3:18" x14ac:dyDescent="0.3">
      <c r="M159" s="48">
        <v>7.6</v>
      </c>
      <c r="N159" s="20">
        <f t="shared" si="1"/>
        <v>1.1515151515151516</v>
      </c>
      <c r="O159" s="148">
        <f t="shared" si="0"/>
        <v>1.1875</v>
      </c>
    </row>
    <row r="160" spans="3:18" x14ac:dyDescent="0.3">
      <c r="M160" s="9">
        <v>7.7</v>
      </c>
      <c r="N160" s="20">
        <f t="shared" si="1"/>
        <v>1.1666666666666667</v>
      </c>
      <c r="O160" s="148">
        <f t="shared" si="0"/>
        <v>1.203125</v>
      </c>
    </row>
    <row r="161" spans="13:15" x14ac:dyDescent="0.3">
      <c r="M161" s="48">
        <v>7.8</v>
      </c>
      <c r="N161" s="20">
        <f t="shared" si="1"/>
        <v>1.1818181818181819</v>
      </c>
      <c r="O161" s="148">
        <f t="shared" si="0"/>
        <v>1.21875</v>
      </c>
    </row>
    <row r="162" spans="13:15" x14ac:dyDescent="0.3">
      <c r="M162" s="9">
        <v>7.9</v>
      </c>
      <c r="N162" s="20">
        <f t="shared" si="1"/>
        <v>1.196969696969697</v>
      </c>
      <c r="O162" s="148">
        <f t="shared" si="0"/>
        <v>1.234375</v>
      </c>
    </row>
    <row r="163" spans="13:15" x14ac:dyDescent="0.3">
      <c r="M163" s="48">
        <v>8</v>
      </c>
      <c r="N163" s="20">
        <f t="shared" si="1"/>
        <v>1.2121212121212122</v>
      </c>
      <c r="O163" s="148">
        <f t="shared" si="0"/>
        <v>1.25</v>
      </c>
    </row>
    <row r="164" spans="13:15" x14ac:dyDescent="0.3">
      <c r="M164" s="9">
        <v>8.1</v>
      </c>
      <c r="N164" s="20">
        <f t="shared" si="1"/>
        <v>1.2272727272727273</v>
      </c>
      <c r="O164" s="148">
        <f t="shared" si="0"/>
        <v>1.265625</v>
      </c>
    </row>
    <row r="165" spans="13:15" x14ac:dyDescent="0.3">
      <c r="M165" s="48">
        <v>8.1999999999999993</v>
      </c>
      <c r="N165" s="20">
        <f t="shared" si="1"/>
        <v>1.2424242424242424</v>
      </c>
      <c r="O165" s="148">
        <f t="shared" si="0"/>
        <v>1.28125</v>
      </c>
    </row>
    <row r="166" spans="13:15" x14ac:dyDescent="0.3">
      <c r="M166" s="9">
        <v>8.3000000000000007</v>
      </c>
      <c r="N166" s="20">
        <f t="shared" si="1"/>
        <v>1.2575757575757576</v>
      </c>
      <c r="O166" s="148">
        <f t="shared" si="0"/>
        <v>1.296875</v>
      </c>
    </row>
    <row r="167" spans="13:15" x14ac:dyDescent="0.3">
      <c r="M167" s="48">
        <v>8.4</v>
      </c>
      <c r="N167" s="20">
        <f t="shared" si="1"/>
        <v>1.2727272727272727</v>
      </c>
      <c r="O167" s="148">
        <f t="shared" si="0"/>
        <v>1.3125</v>
      </c>
    </row>
    <row r="168" spans="13:15" x14ac:dyDescent="0.3">
      <c r="M168" s="9">
        <v>8.4999999999999893</v>
      </c>
      <c r="N168" s="20">
        <f t="shared" si="1"/>
        <v>1.2878787878787861</v>
      </c>
      <c r="O168" s="148">
        <f t="shared" si="0"/>
        <v>1.3281249999999982</v>
      </c>
    </row>
    <row r="169" spans="13:15" x14ac:dyDescent="0.3">
      <c r="M169" s="48">
        <v>8.5999999999999908</v>
      </c>
      <c r="N169" s="20">
        <f t="shared" si="1"/>
        <v>1.3030303030303017</v>
      </c>
      <c r="O169" s="148">
        <f t="shared" si="0"/>
        <v>1.3437499999999987</v>
      </c>
    </row>
    <row r="170" spans="13:15" x14ac:dyDescent="0.3">
      <c r="M170" s="9">
        <v>8.6999999999999904</v>
      </c>
      <c r="N170" s="20">
        <f t="shared" si="1"/>
        <v>1.3181818181818166</v>
      </c>
      <c r="O170" s="148">
        <f t="shared" si="0"/>
        <v>1.3593749999999984</v>
      </c>
    </row>
    <row r="171" spans="13:15" x14ac:dyDescent="0.3">
      <c r="M171" s="48">
        <v>8.7999999999999901</v>
      </c>
      <c r="N171" s="20">
        <f t="shared" si="1"/>
        <v>1.3333333333333319</v>
      </c>
      <c r="O171" s="148">
        <f t="shared" si="0"/>
        <v>1.3749999999999984</v>
      </c>
    </row>
    <row r="172" spans="13:15" x14ac:dyDescent="0.3">
      <c r="M172" s="9">
        <v>8.8999999999999897</v>
      </c>
      <c r="N172" s="20">
        <f t="shared" si="1"/>
        <v>1.3484848484848471</v>
      </c>
      <c r="O172" s="148">
        <f t="shared" si="0"/>
        <v>1.3906249999999984</v>
      </c>
    </row>
    <row r="173" spans="13:15" ht="17.25" thickBot="1" x14ac:dyDescent="0.35">
      <c r="M173" s="49">
        <v>8.9999999999999893</v>
      </c>
      <c r="N173" s="22">
        <f t="shared" si="1"/>
        <v>1.363636363636362</v>
      </c>
      <c r="O173" s="188">
        <f t="shared" si="0"/>
        <v>1.4062499999999982</v>
      </c>
    </row>
  </sheetData>
  <mergeCells count="6">
    <mergeCell ref="N2:P2"/>
    <mergeCell ref="C148:C150"/>
    <mergeCell ref="E2:F2"/>
    <mergeCell ref="G2:H2"/>
    <mergeCell ref="I2:J2"/>
    <mergeCell ref="L2:M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3:I55"/>
  <sheetViews>
    <sheetView workbookViewId="0">
      <selection activeCell="S30" sqref="S30"/>
    </sheetView>
  </sheetViews>
  <sheetFormatPr defaultRowHeight="16.5" x14ac:dyDescent="0.3"/>
  <sheetData>
    <row r="3" spans="6:7" x14ac:dyDescent="0.3">
      <c r="F3" t="s">
        <v>206</v>
      </c>
    </row>
    <row r="4" spans="6:7" x14ac:dyDescent="0.3">
      <c r="F4" t="s">
        <v>207</v>
      </c>
    </row>
    <row r="5" spans="6:7" x14ac:dyDescent="0.3">
      <c r="G5" t="s">
        <v>208</v>
      </c>
    </row>
    <row r="6" spans="6:7" x14ac:dyDescent="0.3">
      <c r="G6" t="s">
        <v>209</v>
      </c>
    </row>
    <row r="7" spans="6:7" x14ac:dyDescent="0.3">
      <c r="G7" t="s">
        <v>210</v>
      </c>
    </row>
    <row r="9" spans="6:7" x14ac:dyDescent="0.3">
      <c r="G9" t="s">
        <v>211</v>
      </c>
    </row>
    <row r="10" spans="6:7" x14ac:dyDescent="0.3">
      <c r="F10" t="s">
        <v>212</v>
      </c>
    </row>
    <row r="11" spans="6:7" x14ac:dyDescent="0.3">
      <c r="F11" t="s">
        <v>213</v>
      </c>
    </row>
    <row r="12" spans="6:7" x14ac:dyDescent="0.3">
      <c r="F12" t="s">
        <v>207</v>
      </c>
    </row>
    <row r="13" spans="6:7" x14ac:dyDescent="0.3">
      <c r="G13" t="s">
        <v>214</v>
      </c>
    </row>
    <row r="15" spans="6:7" x14ac:dyDescent="0.3">
      <c r="G15" t="s">
        <v>215</v>
      </c>
    </row>
    <row r="16" spans="6:7" x14ac:dyDescent="0.3">
      <c r="G16" t="s">
        <v>216</v>
      </c>
    </row>
    <row r="17" spans="7:9" x14ac:dyDescent="0.3">
      <c r="G17" t="s">
        <v>217</v>
      </c>
    </row>
    <row r="18" spans="7:9" x14ac:dyDescent="0.3">
      <c r="G18" t="s">
        <v>218</v>
      </c>
    </row>
    <row r="19" spans="7:9" x14ac:dyDescent="0.3">
      <c r="G19" t="s">
        <v>207</v>
      </c>
    </row>
    <row r="20" spans="7:9" x14ac:dyDescent="0.3">
      <c r="H20" t="s">
        <v>219</v>
      </c>
    </row>
    <row r="21" spans="7:9" x14ac:dyDescent="0.3">
      <c r="H21" t="s">
        <v>207</v>
      </c>
    </row>
    <row r="22" spans="7:9" x14ac:dyDescent="0.3">
      <c r="I22" t="s">
        <v>220</v>
      </c>
    </row>
    <row r="23" spans="7:9" x14ac:dyDescent="0.3">
      <c r="I23" t="s">
        <v>221</v>
      </c>
    </row>
    <row r="24" spans="7:9" x14ac:dyDescent="0.3">
      <c r="H24" t="s">
        <v>212</v>
      </c>
    </row>
    <row r="25" spans="7:9" x14ac:dyDescent="0.3">
      <c r="H25" t="s">
        <v>222</v>
      </c>
    </row>
    <row r="26" spans="7:9" x14ac:dyDescent="0.3">
      <c r="I26" t="s">
        <v>223</v>
      </c>
    </row>
    <row r="27" spans="7:9" x14ac:dyDescent="0.3">
      <c r="I27" t="s">
        <v>221</v>
      </c>
    </row>
    <row r="28" spans="7:9" x14ac:dyDescent="0.3">
      <c r="H28" t="s">
        <v>212</v>
      </c>
    </row>
    <row r="29" spans="7:9" x14ac:dyDescent="0.3">
      <c r="G29" t="s">
        <v>212</v>
      </c>
    </row>
    <row r="30" spans="7:9" x14ac:dyDescent="0.3">
      <c r="G30" t="s">
        <v>224</v>
      </c>
    </row>
    <row r="31" spans="7:9" x14ac:dyDescent="0.3">
      <c r="G31" t="s">
        <v>207</v>
      </c>
    </row>
    <row r="32" spans="7:9" x14ac:dyDescent="0.3">
      <c r="H32" t="s">
        <v>219</v>
      </c>
    </row>
    <row r="33" spans="8:9" x14ac:dyDescent="0.3">
      <c r="H33" t="s">
        <v>207</v>
      </c>
    </row>
    <row r="34" spans="8:9" x14ac:dyDescent="0.3">
      <c r="I34" t="s">
        <v>223</v>
      </c>
    </row>
    <row r="35" spans="8:9" x14ac:dyDescent="0.3">
      <c r="I35" t="s">
        <v>225</v>
      </c>
    </row>
    <row r="36" spans="8:9" x14ac:dyDescent="0.3">
      <c r="H36" t="s">
        <v>212</v>
      </c>
    </row>
    <row r="37" spans="8:9" x14ac:dyDescent="0.3">
      <c r="H37" t="s">
        <v>222</v>
      </c>
    </row>
    <row r="38" spans="8:9" x14ac:dyDescent="0.3">
      <c r="I38" t="s">
        <v>223</v>
      </c>
    </row>
    <row r="39" spans="8:9" x14ac:dyDescent="0.3">
      <c r="I39" t="s">
        <v>221</v>
      </c>
    </row>
    <row r="40" spans="8:9" x14ac:dyDescent="0.3">
      <c r="H40" t="s">
        <v>212</v>
      </c>
    </row>
    <row r="42" spans="8:9" x14ac:dyDescent="0.3">
      <c r="H42" t="s">
        <v>223</v>
      </c>
    </row>
    <row r="43" spans="8:9" x14ac:dyDescent="0.3">
      <c r="H43" t="s">
        <v>226</v>
      </c>
    </row>
    <row r="44" spans="8:9" x14ac:dyDescent="0.3">
      <c r="H44" t="s">
        <v>225</v>
      </c>
    </row>
    <row r="45" spans="8:9" x14ac:dyDescent="0.3">
      <c r="H45" t="s">
        <v>227</v>
      </c>
    </row>
    <row r="46" spans="8:9" x14ac:dyDescent="0.3">
      <c r="H46" t="s">
        <v>228</v>
      </c>
    </row>
    <row r="47" spans="8:9" x14ac:dyDescent="0.3">
      <c r="H47" t="s">
        <v>207</v>
      </c>
    </row>
    <row r="48" spans="8:9" x14ac:dyDescent="0.3">
      <c r="I48" t="s">
        <v>220</v>
      </c>
    </row>
    <row r="49" spans="6:9" x14ac:dyDescent="0.3">
      <c r="I49" t="s">
        <v>221</v>
      </c>
    </row>
    <row r="50" spans="6:9" x14ac:dyDescent="0.3">
      <c r="H50" t="s">
        <v>212</v>
      </c>
    </row>
    <row r="51" spans="6:9" x14ac:dyDescent="0.3">
      <c r="H51" t="s">
        <v>229</v>
      </c>
    </row>
    <row r="52" spans="6:9" x14ac:dyDescent="0.3">
      <c r="G52" t="s">
        <v>212</v>
      </c>
    </row>
    <row r="53" spans="6:9" x14ac:dyDescent="0.3">
      <c r="F53" t="s">
        <v>230</v>
      </c>
    </row>
    <row r="54" spans="6:9" x14ac:dyDescent="0.3">
      <c r="F54" t="s">
        <v>212</v>
      </c>
    </row>
    <row r="55" spans="6:9" x14ac:dyDescent="0.3">
      <c r="F55" t="s">
        <v>231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</vt:i4>
      </vt:variant>
    </vt:vector>
  </HeadingPairs>
  <TitlesOfParts>
    <vt:vector size="10" baseType="lpstr">
      <vt:lpstr>Sample</vt:lpstr>
      <vt:lpstr>Volume</vt:lpstr>
      <vt:lpstr>Charging</vt:lpstr>
      <vt:lpstr>Pulse</vt:lpstr>
      <vt:lpstr>Pulse_PWM</vt:lpstr>
      <vt:lpstr>Battey therm ADC</vt:lpstr>
      <vt:lpstr>Battery ADC</vt:lpstr>
      <vt:lpstr>Boost</vt:lpstr>
      <vt:lpstr>Sheet1</vt:lpstr>
      <vt:lpstr>RS-232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2018-01-03T05:39:39Z</dcterms:modified>
</cp:coreProperties>
</file>